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480" yWindow="132" windowWidth="7980" windowHeight="6288" tabRatio="946" firstSheet="1" activeTab="1"/>
  </bookViews>
  <sheets>
    <sheet name="Memoria de Rubros" sheetId="31" r:id="rId1"/>
    <sheet name="Presupuesto" sheetId="1" r:id="rId2"/>
    <sheet name="1" sheetId="38" r:id="rId3"/>
    <sheet name="2" sheetId="4" r:id="rId4"/>
    <sheet name="3" sheetId="5" r:id="rId5"/>
    <sheet name="4" sheetId="6" r:id="rId6"/>
    <sheet name="5" sheetId="7" r:id="rId7"/>
    <sheet name="6" sheetId="8" r:id="rId8"/>
    <sheet name="7" sheetId="9" r:id="rId9"/>
    <sheet name="8" sheetId="51" r:id="rId10"/>
    <sheet name="9" sheetId="10" r:id="rId11"/>
    <sheet name="10" sheetId="11" r:id="rId12"/>
    <sheet name="11" sheetId="56" r:id="rId13"/>
    <sheet name="12" sheetId="48" r:id="rId14"/>
    <sheet name="13" sheetId="57" r:id="rId15"/>
    <sheet name="14" sheetId="58" r:id="rId16"/>
    <sheet name="15" sheetId="12" r:id="rId17"/>
    <sheet name="16" sheetId="52" r:id="rId18"/>
    <sheet name="17" sheetId="49" r:id="rId19"/>
    <sheet name="18" sheetId="16" r:id="rId20"/>
    <sheet name="19" sheetId="62" r:id="rId21"/>
    <sheet name="20" sheetId="17" r:id="rId22"/>
    <sheet name="21" sheetId="18" r:id="rId23"/>
    <sheet name="22" sheetId="19" r:id="rId24"/>
    <sheet name="23" sheetId="20" r:id="rId25"/>
    <sheet name="24" sheetId="21" r:id="rId26"/>
    <sheet name="25" sheetId="22" r:id="rId27"/>
    <sheet name="26" sheetId="23" r:id="rId28"/>
    <sheet name="27" sheetId="25" r:id="rId29"/>
    <sheet name="28" sheetId="72" r:id="rId30"/>
    <sheet name="29" sheetId="26" r:id="rId31"/>
    <sheet name="30" sheetId="27" r:id="rId32"/>
    <sheet name="31" sheetId="28" r:id="rId33"/>
    <sheet name="32" sheetId="29" r:id="rId34"/>
    <sheet name="33" sheetId="50" r:id="rId35"/>
    <sheet name="34" sheetId="47" r:id="rId36"/>
    <sheet name="35" sheetId="35" r:id="rId37"/>
    <sheet name="36" sheetId="36" r:id="rId38"/>
    <sheet name="37" sheetId="43" r:id="rId39"/>
    <sheet name="38" sheetId="54" r:id="rId40"/>
    <sheet name="39" sheetId="55" r:id="rId41"/>
    <sheet name="40" sheetId="61" r:id="rId42"/>
    <sheet name="41" sheetId="66" r:id="rId43"/>
    <sheet name="42" sheetId="65" r:id="rId44"/>
    <sheet name="43" sheetId="64" r:id="rId45"/>
    <sheet name="44" sheetId="63" r:id="rId46"/>
    <sheet name="45" sheetId="67" r:id="rId47"/>
    <sheet name="46" sheetId="69" r:id="rId48"/>
    <sheet name="47" sheetId="68" r:id="rId49"/>
    <sheet name="48" sheetId="70" r:id="rId50"/>
    <sheet name="49" sheetId="71" r:id="rId51"/>
    <sheet name="50" sheetId="74" r:id="rId52"/>
    <sheet name="51" sheetId="73" r:id="rId53"/>
    <sheet name="52" sheetId="75" r:id="rId54"/>
    <sheet name="53" sheetId="76" r:id="rId55"/>
    <sheet name="54" sheetId="34" r:id="rId56"/>
  </sheets>
  <definedNames>
    <definedName name="_xlnm.Print_Area" localSheetId="1">Presupuesto!$A$1:$I$88</definedName>
  </definedNames>
  <calcPr calcId="152511"/>
</workbook>
</file>

<file path=xl/calcChain.xml><?xml version="1.0" encoding="utf-8"?>
<calcChain xmlns="http://schemas.openxmlformats.org/spreadsheetml/2006/main">
  <c r="G46" i="31" l="1"/>
  <c r="E46" i="31"/>
  <c r="D45" i="31"/>
  <c r="E45" i="31" l="1"/>
  <c r="E44" i="31"/>
  <c r="D199" i="31"/>
  <c r="D198" i="31"/>
  <c r="D197" i="31"/>
  <c r="D207" i="31"/>
  <c r="D109" i="31"/>
  <c r="D108" i="31"/>
  <c r="D107" i="31"/>
  <c r="D99" i="31"/>
  <c r="D97" i="31"/>
  <c r="D115" i="31"/>
  <c r="D116" i="31"/>
  <c r="B69" i="31"/>
  <c r="D98" i="31" s="1"/>
  <c r="B68" i="31"/>
  <c r="D71" i="31"/>
  <c r="D72" i="31"/>
  <c r="D73" i="31"/>
  <c r="D74" i="31"/>
  <c r="D70" i="31"/>
  <c r="D69" i="31"/>
  <c r="D68" i="31"/>
  <c r="D67" i="31"/>
  <c r="D28" i="9"/>
  <c r="D27" i="9"/>
  <c r="D26" i="9"/>
  <c r="D25" i="9"/>
  <c r="D24" i="9"/>
  <c r="D23" i="9"/>
  <c r="D22" i="9"/>
  <c r="D21" i="9"/>
  <c r="D20" i="9"/>
  <c r="D19" i="9"/>
  <c r="D18" i="9"/>
  <c r="D17" i="9"/>
  <c r="E7" i="31"/>
  <c r="G7" i="31" s="1"/>
  <c r="E6" i="31"/>
  <c r="G6" i="31" s="1"/>
  <c r="E397" i="31" l="1"/>
  <c r="G397" i="31" s="1"/>
  <c r="E254" i="31"/>
  <c r="G254" i="31" s="1"/>
  <c r="D395" i="31"/>
  <c r="E395" i="31" s="1"/>
  <c r="G395" i="31" s="1"/>
  <c r="D394" i="31"/>
  <c r="E394" i="31" s="1"/>
  <c r="G394" i="31" s="1"/>
  <c r="D393" i="31"/>
  <c r="E393" i="31" s="1"/>
  <c r="G393" i="31" s="1"/>
  <c r="D392" i="31"/>
  <c r="D403" i="31"/>
  <c r="D385" i="31"/>
  <c r="E279" i="31"/>
  <c r="G279" i="31" s="1"/>
  <c r="C278" i="31"/>
  <c r="B278" i="31"/>
  <c r="D252" i="31"/>
  <c r="F246" i="31"/>
  <c r="F245" i="31"/>
  <c r="F179" i="31"/>
  <c r="E163" i="31"/>
  <c r="E419" i="31"/>
  <c r="G419" i="31" s="1"/>
  <c r="E418" i="31"/>
  <c r="G418" i="31" s="1"/>
  <c r="E417" i="31"/>
  <c r="G417" i="31" s="1"/>
  <c r="E416" i="31"/>
  <c r="G416" i="31" s="1"/>
  <c r="E415" i="31"/>
  <c r="G415" i="31" s="1"/>
  <c r="E414" i="31"/>
  <c r="G414" i="31" s="1"/>
  <c r="E413" i="31"/>
  <c r="G413" i="31" s="1"/>
  <c r="E411" i="31"/>
  <c r="G411" i="31" s="1"/>
  <c r="E412" i="31"/>
  <c r="G412" i="31" s="1"/>
  <c r="E410" i="31"/>
  <c r="G410" i="31" s="1"/>
  <c r="E409" i="31"/>
  <c r="G409" i="31" s="1"/>
  <c r="G44" i="31"/>
  <c r="G45" i="31"/>
  <c r="E48" i="31"/>
  <c r="G48" i="31" s="1"/>
  <c r="E49" i="31"/>
  <c r="G49" i="31" s="1"/>
  <c r="E50" i="31"/>
  <c r="G50" i="31" s="1"/>
  <c r="E51" i="31"/>
  <c r="G51" i="31" s="1"/>
  <c r="E52" i="31"/>
  <c r="G52" i="31" s="1"/>
  <c r="E53" i="31"/>
  <c r="G53" i="31" s="1"/>
  <c r="E54" i="31"/>
  <c r="G54" i="31" s="1"/>
  <c r="E55" i="31"/>
  <c r="G55" i="31" s="1"/>
  <c r="E47" i="31"/>
  <c r="G47" i="31" s="1"/>
  <c r="E41" i="31"/>
  <c r="G41" i="31" s="1"/>
  <c r="E43" i="31"/>
  <c r="G43" i="31" s="1"/>
  <c r="E42" i="31"/>
  <c r="G42" i="31" s="1"/>
  <c r="E32" i="31"/>
  <c r="G32" i="31" s="1"/>
  <c r="E33" i="31"/>
  <c r="G33" i="31" s="1"/>
  <c r="E34" i="31"/>
  <c r="G34" i="31" s="1"/>
  <c r="E35" i="31"/>
  <c r="G35" i="31" s="1"/>
  <c r="E36" i="31"/>
  <c r="G36" i="31" s="1"/>
  <c r="E37" i="31"/>
  <c r="G37" i="31" s="1"/>
  <c r="E38" i="31"/>
  <c r="G38" i="31" s="1"/>
  <c r="E39" i="31"/>
  <c r="G39" i="31" s="1"/>
  <c r="E40" i="31"/>
  <c r="G40" i="31" s="1"/>
  <c r="C31" i="31"/>
  <c r="C29" i="31"/>
  <c r="E28" i="31"/>
  <c r="G420" i="31" l="1"/>
  <c r="E29" i="31"/>
  <c r="G29" i="31" s="1"/>
  <c r="E30" i="31"/>
  <c r="G30" i="31" s="1"/>
  <c r="E31" i="31"/>
  <c r="G31" i="31" s="1"/>
  <c r="G28" i="31"/>
  <c r="G56" i="31" l="1"/>
  <c r="C75" i="31"/>
  <c r="E392" i="31" l="1"/>
  <c r="G392" i="31" s="1"/>
  <c r="E423" i="31"/>
  <c r="B423" i="31"/>
  <c r="A423" i="31"/>
  <c r="E407" i="31"/>
  <c r="B407" i="31"/>
  <c r="A407" i="31"/>
  <c r="E401" i="31"/>
  <c r="B401" i="31"/>
  <c r="A401" i="31"/>
  <c r="E390" i="31"/>
  <c r="B390" i="31"/>
  <c r="A390" i="31"/>
  <c r="E425" i="31"/>
  <c r="G425" i="31" s="1"/>
  <c r="G426" i="31" s="1"/>
  <c r="F60" i="1" s="1"/>
  <c r="G60" i="1"/>
  <c r="G37" i="76"/>
  <c r="G35" i="76"/>
  <c r="G32" i="76"/>
  <c r="G30" i="76"/>
  <c r="G29" i="76"/>
  <c r="G28" i="76"/>
  <c r="G19" i="76"/>
  <c r="G18" i="76"/>
  <c r="G17" i="76"/>
  <c r="G12" i="76"/>
  <c r="G13" i="76" s="1"/>
  <c r="B6" i="76"/>
  <c r="B5" i="76"/>
  <c r="B4" i="76"/>
  <c r="B3" i="76"/>
  <c r="G1" i="76"/>
  <c r="G35" i="1"/>
  <c r="G36" i="72"/>
  <c r="G34" i="72"/>
  <c r="G31" i="72"/>
  <c r="G29" i="72"/>
  <c r="G12" i="72" s="1"/>
  <c r="G13" i="72" s="1"/>
  <c r="G28" i="72"/>
  <c r="G27" i="72"/>
  <c r="G18" i="72"/>
  <c r="G17" i="72"/>
  <c r="G57" i="1"/>
  <c r="G58" i="1"/>
  <c r="G59" i="1"/>
  <c r="G42" i="75"/>
  <c r="G40" i="75"/>
  <c r="G37" i="75"/>
  <c r="G35" i="75"/>
  <c r="G32" i="75"/>
  <c r="G33" i="75"/>
  <c r="G34" i="75"/>
  <c r="G31" i="75"/>
  <c r="G22" i="75"/>
  <c r="G21" i="75"/>
  <c r="G17" i="75"/>
  <c r="G13" i="75"/>
  <c r="G14" i="75"/>
  <c r="G15" i="75"/>
  <c r="G16" i="75"/>
  <c r="G12" i="75"/>
  <c r="B6" i="75"/>
  <c r="B5" i="75"/>
  <c r="B4" i="75"/>
  <c r="B3" i="75"/>
  <c r="G36" i="73"/>
  <c r="G34" i="73"/>
  <c r="G31" i="73"/>
  <c r="G29" i="73"/>
  <c r="G28" i="73"/>
  <c r="G27" i="73"/>
  <c r="G18" i="73"/>
  <c r="G17" i="73"/>
  <c r="G36" i="74"/>
  <c r="G34" i="74"/>
  <c r="G31" i="74"/>
  <c r="G29" i="74"/>
  <c r="G12" i="74" s="1"/>
  <c r="G13" i="74" s="1"/>
  <c r="G27" i="74"/>
  <c r="G28" i="74"/>
  <c r="G18" i="74"/>
  <c r="G17" i="74"/>
  <c r="G1" i="75"/>
  <c r="G1" i="74"/>
  <c r="G1" i="73"/>
  <c r="B6" i="72"/>
  <c r="B5" i="72"/>
  <c r="B4" i="72"/>
  <c r="B3" i="72"/>
  <c r="G1" i="72"/>
  <c r="H60" i="1" l="1"/>
  <c r="F59" i="1"/>
  <c r="H59" i="1" s="1"/>
  <c r="D100" i="31" l="1"/>
  <c r="D101" i="31"/>
  <c r="E383" i="31" l="1"/>
  <c r="B383" i="31"/>
  <c r="A383" i="31"/>
  <c r="E385" i="31"/>
  <c r="G385" i="31" s="1"/>
  <c r="G31" i="71"/>
  <c r="G32" i="71"/>
  <c r="G30" i="71"/>
  <c r="G21" i="71"/>
  <c r="G20" i="71"/>
  <c r="G19" i="71"/>
  <c r="G18" i="71"/>
  <c r="G13" i="71"/>
  <c r="B6" i="71"/>
  <c r="B5" i="71"/>
  <c r="B4" i="71"/>
  <c r="B3" i="71"/>
  <c r="G1" i="71"/>
  <c r="G33" i="71" l="1"/>
  <c r="G12" i="71" s="1"/>
  <c r="G14" i="71" s="1"/>
  <c r="G35" i="71" s="1"/>
  <c r="G38" i="71" s="1"/>
  <c r="G40" i="71" s="1"/>
  <c r="G56" i="1" s="1"/>
  <c r="G36" i="21"/>
  <c r="G35" i="21"/>
  <c r="F35" i="21"/>
  <c r="G25" i="21"/>
  <c r="G24" i="21"/>
  <c r="G23" i="21"/>
  <c r="G22" i="21"/>
  <c r="G21" i="21"/>
  <c r="G53" i="1" l="1"/>
  <c r="B5" i="69"/>
  <c r="B4" i="69"/>
  <c r="B3" i="69"/>
  <c r="E22" i="31" l="1"/>
  <c r="G22" i="31" s="1"/>
  <c r="E21" i="31"/>
  <c r="G21" i="31" s="1"/>
  <c r="G55" i="1" l="1"/>
  <c r="G28" i="70"/>
  <c r="B6" i="70"/>
  <c r="B5" i="70"/>
  <c r="B4" i="70"/>
  <c r="B3" i="70"/>
  <c r="G27" i="70"/>
  <c r="G1" i="70"/>
  <c r="E377" i="31"/>
  <c r="B377" i="31"/>
  <c r="A377" i="31"/>
  <c r="E379" i="31"/>
  <c r="G379" i="31" s="1"/>
  <c r="G29" i="70" l="1"/>
  <c r="G12" i="70"/>
  <c r="G13" i="70" s="1"/>
  <c r="G380" i="31"/>
  <c r="F55" i="1" s="1"/>
  <c r="H55" i="1" s="1"/>
  <c r="F182" i="31"/>
  <c r="F181" i="31"/>
  <c r="F180" i="31"/>
  <c r="G31" i="70" l="1"/>
  <c r="G34" i="70" s="1"/>
  <c r="G36" i="70" s="1"/>
  <c r="A429" i="31" l="1"/>
  <c r="A371" i="31"/>
  <c r="A365" i="31"/>
  <c r="A359" i="31"/>
  <c r="A353" i="31"/>
  <c r="A346" i="31"/>
  <c r="A335" i="1"/>
  <c r="A334" i="31"/>
  <c r="A328" i="31"/>
  <c r="A322" i="31"/>
  <c r="A316" i="31"/>
  <c r="A310" i="31"/>
  <c r="A304" i="31"/>
  <c r="A297" i="31"/>
  <c r="A290" i="31"/>
  <c r="A283" i="31"/>
  <c r="A276" i="31"/>
  <c r="A270" i="31"/>
  <c r="A264" i="31"/>
  <c r="A258" i="31"/>
  <c r="A250" i="31"/>
  <c r="A243" i="31"/>
  <c r="A235" i="31"/>
  <c r="A228" i="31"/>
  <c r="A221" i="31"/>
  <c r="A212" i="31"/>
  <c r="A203" i="31"/>
  <c r="A195" i="31"/>
  <c r="A186" i="31"/>
  <c r="A177" i="31"/>
  <c r="A168" i="31"/>
  <c r="A161" i="31"/>
  <c r="A152" i="31"/>
  <c r="A140" i="31"/>
  <c r="A134" i="31"/>
  <c r="A128" i="31"/>
  <c r="A120" i="31"/>
  <c r="A113" i="31"/>
  <c r="A105" i="31"/>
  <c r="A95" i="31"/>
  <c r="A81" i="31"/>
  <c r="A65" i="31"/>
  <c r="A59" i="31"/>
  <c r="A26" i="31"/>
  <c r="A18" i="31"/>
  <c r="A11" i="31"/>
  <c r="A3" i="31"/>
  <c r="E328" i="31"/>
  <c r="D306" i="31"/>
  <c r="D246" i="31"/>
  <c r="D245" i="31"/>
  <c r="D231" i="31"/>
  <c r="D230" i="31"/>
  <c r="E208" i="31"/>
  <c r="G208" i="31" s="1"/>
  <c r="B170" i="31"/>
  <c r="B157" i="31"/>
  <c r="B156" i="31"/>
  <c r="B155" i="31"/>
  <c r="B154" i="31"/>
  <c r="E140" i="31"/>
  <c r="C142" i="31"/>
  <c r="E115" i="31"/>
  <c r="G115" i="31" s="1"/>
  <c r="E67" i="31"/>
  <c r="G67" i="31" s="1"/>
  <c r="B142" i="31" s="1"/>
  <c r="C143" i="31"/>
  <c r="G54" i="1"/>
  <c r="G32" i="68"/>
  <c r="G18" i="68"/>
  <c r="G17" i="68"/>
  <c r="G30" i="68"/>
  <c r="G28" i="68"/>
  <c r="G29" i="68"/>
  <c r="G32" i="69"/>
  <c r="G30" i="69"/>
  <c r="G29" i="69"/>
  <c r="G19" i="69"/>
  <c r="G18" i="69"/>
  <c r="G17" i="69"/>
  <c r="B6" i="68"/>
  <c r="B5" i="68"/>
  <c r="B4" i="68"/>
  <c r="B3" i="68"/>
  <c r="B6" i="69"/>
  <c r="G28" i="69"/>
  <c r="G12" i="69" s="1"/>
  <c r="G1" i="69"/>
  <c r="G27" i="68"/>
  <c r="G1" i="68"/>
  <c r="E365" i="31"/>
  <c r="B365" i="31"/>
  <c r="E371" i="31"/>
  <c r="B371" i="31"/>
  <c r="E367" i="31"/>
  <c r="G367" i="31" s="1"/>
  <c r="G368" i="31" s="1"/>
  <c r="F53" i="1" s="1"/>
  <c r="E373" i="31"/>
  <c r="G373" i="31" s="1"/>
  <c r="G374" i="31" s="1"/>
  <c r="F54" i="1" s="1"/>
  <c r="C144" i="31" l="1"/>
  <c r="H54" i="1"/>
  <c r="D142" i="31"/>
  <c r="E142" i="31" s="1"/>
  <c r="G142" i="31" s="1"/>
  <c r="G12" i="68"/>
  <c r="G13" i="68" s="1"/>
  <c r="G35" i="68" s="1"/>
  <c r="G37" i="68" s="1"/>
  <c r="H53" i="1"/>
  <c r="G13" i="69"/>
  <c r="G35" i="69" s="1"/>
  <c r="G37" i="69" s="1"/>
  <c r="B5" i="61"/>
  <c r="B6" i="58"/>
  <c r="B5" i="58"/>
  <c r="B4" i="58"/>
  <c r="B6" i="57"/>
  <c r="B5" i="57"/>
  <c r="B5" i="48"/>
  <c r="B6" i="8"/>
  <c r="B5" i="8"/>
  <c r="B5" i="6"/>
  <c r="B5" i="5"/>
  <c r="B5" i="4"/>
  <c r="B6" i="52"/>
  <c r="B5" i="52"/>
  <c r="B4" i="52"/>
  <c r="B6" i="49"/>
  <c r="B5" i="49"/>
  <c r="B4" i="49"/>
  <c r="B3" i="49"/>
  <c r="B3" i="52"/>
  <c r="B3" i="51" l="1"/>
  <c r="G27" i="34" l="1"/>
  <c r="B6" i="34"/>
  <c r="B5" i="34"/>
  <c r="B4" i="34"/>
  <c r="B3" i="34"/>
  <c r="G37" i="67"/>
  <c r="G38" i="67"/>
  <c r="G36" i="67"/>
  <c r="B4" i="67"/>
  <c r="B5" i="67"/>
  <c r="B3" i="67"/>
  <c r="G33" i="63"/>
  <c r="G34" i="63"/>
  <c r="G32" i="63"/>
  <c r="G20" i="63"/>
  <c r="G21" i="63"/>
  <c r="G22" i="63"/>
  <c r="G19" i="63"/>
  <c r="G13" i="63"/>
  <c r="G12" i="63"/>
  <c r="B6" i="63"/>
  <c r="B5" i="63"/>
  <c r="B4" i="63"/>
  <c r="B3" i="63"/>
  <c r="G38" i="64"/>
  <c r="G37" i="64"/>
  <c r="G21" i="64"/>
  <c r="G22" i="64"/>
  <c r="G23" i="64"/>
  <c r="G24" i="64"/>
  <c r="G25" i="64"/>
  <c r="G26" i="64"/>
  <c r="G27" i="64"/>
  <c r="G20" i="64"/>
  <c r="G13" i="64"/>
  <c r="G14" i="64"/>
  <c r="G12" i="64"/>
  <c r="B6" i="64"/>
  <c r="B5" i="64"/>
  <c r="B4" i="64"/>
  <c r="B3" i="64"/>
  <c r="G31" i="65"/>
  <c r="G30" i="65"/>
  <c r="G18" i="65"/>
  <c r="G19" i="65"/>
  <c r="G20" i="65"/>
  <c r="G17" i="65"/>
  <c r="B6" i="65"/>
  <c r="B5" i="65"/>
  <c r="B4" i="65"/>
  <c r="B3" i="65"/>
  <c r="G31" i="66"/>
  <c r="G30" i="66"/>
  <c r="G17" i="66"/>
  <c r="B6" i="66"/>
  <c r="B5" i="66"/>
  <c r="B4" i="66"/>
  <c r="B3" i="66"/>
  <c r="B4" i="61"/>
  <c r="B3" i="61"/>
  <c r="G28" i="55"/>
  <c r="G27" i="55"/>
  <c r="B6" i="55"/>
  <c r="B5" i="55"/>
  <c r="B4" i="55"/>
  <c r="B3" i="55"/>
  <c r="G36" i="54"/>
  <c r="G35" i="54"/>
  <c r="G19" i="54"/>
  <c r="G20" i="54"/>
  <c r="G21" i="54"/>
  <c r="G22" i="54"/>
  <c r="G23" i="54"/>
  <c r="G24" i="54"/>
  <c r="G25" i="54"/>
  <c r="G18" i="54"/>
  <c r="G12" i="54"/>
  <c r="B6" i="54"/>
  <c r="B5" i="54"/>
  <c r="B4" i="54"/>
  <c r="B3" i="54"/>
  <c r="B6" i="43"/>
  <c r="B4" i="43"/>
  <c r="G17" i="36"/>
  <c r="B6" i="36"/>
  <c r="B4" i="36"/>
  <c r="G17" i="35"/>
  <c r="B6" i="35"/>
  <c r="B4" i="35"/>
  <c r="G28" i="47"/>
  <c r="G18" i="47"/>
  <c r="G17" i="47"/>
  <c r="B6" i="47"/>
  <c r="B5" i="47"/>
  <c r="B4" i="47"/>
  <c r="B3" i="47"/>
  <c r="G30" i="50"/>
  <c r="G29" i="50"/>
  <c r="G18" i="50"/>
  <c r="G19" i="50"/>
  <c r="G17" i="50"/>
  <c r="B6" i="50"/>
  <c r="B5" i="50"/>
  <c r="B4" i="50"/>
  <c r="G30" i="29"/>
  <c r="G29" i="29"/>
  <c r="G20" i="29"/>
  <c r="G19" i="29"/>
  <c r="G18" i="29"/>
  <c r="G12" i="29"/>
  <c r="B6" i="29"/>
  <c r="B5" i="29"/>
  <c r="B4" i="29"/>
  <c r="G17" i="28"/>
  <c r="B6" i="28"/>
  <c r="B4" i="28"/>
  <c r="B5" i="28"/>
  <c r="B3" i="28"/>
  <c r="G17" i="27"/>
  <c r="B6" i="27"/>
  <c r="B5" i="27"/>
  <c r="B4" i="27"/>
  <c r="G29" i="26"/>
  <c r="G17" i="26"/>
  <c r="B5" i="26"/>
  <c r="B4" i="26"/>
  <c r="B3" i="26"/>
  <c r="G28" i="25"/>
  <c r="G27" i="25"/>
  <c r="G17" i="25"/>
  <c r="B6" i="25"/>
  <c r="B5" i="25"/>
  <c r="B4" i="25"/>
  <c r="G34" i="23"/>
  <c r="G33" i="23"/>
  <c r="G18" i="23"/>
  <c r="G19" i="23"/>
  <c r="G20" i="23"/>
  <c r="G21" i="23"/>
  <c r="G22" i="23"/>
  <c r="G23" i="23"/>
  <c r="G17" i="23"/>
  <c r="B6" i="23"/>
  <c r="B5" i="23"/>
  <c r="B4" i="23"/>
  <c r="G35" i="22"/>
  <c r="G34" i="22"/>
  <c r="G18" i="22"/>
  <c r="G19" i="22"/>
  <c r="G20" i="22"/>
  <c r="G21" i="22"/>
  <c r="G22" i="22"/>
  <c r="G23" i="22"/>
  <c r="G24" i="22"/>
  <c r="G17" i="22"/>
  <c r="B6" i="22"/>
  <c r="B5" i="22"/>
  <c r="B4" i="22"/>
  <c r="B3" i="22"/>
  <c r="G34" i="21"/>
  <c r="G18" i="21"/>
  <c r="G19" i="21"/>
  <c r="G20" i="21"/>
  <c r="G17" i="21"/>
  <c r="B6" i="21"/>
  <c r="B5" i="21"/>
  <c r="B4" i="21"/>
  <c r="G33" i="20"/>
  <c r="G32" i="20"/>
  <c r="G18" i="20"/>
  <c r="G19" i="20"/>
  <c r="G20" i="20"/>
  <c r="G21" i="20"/>
  <c r="G22" i="20"/>
  <c r="G17" i="20"/>
  <c r="B6" i="20"/>
  <c r="B5" i="20"/>
  <c r="B4" i="20"/>
  <c r="B3" i="20"/>
  <c r="G32" i="19"/>
  <c r="G31" i="19"/>
  <c r="G18" i="19"/>
  <c r="G19" i="19"/>
  <c r="G20" i="19"/>
  <c r="G21" i="19"/>
  <c r="G17" i="19"/>
  <c r="B6" i="19"/>
  <c r="B5" i="19"/>
  <c r="B4" i="19"/>
  <c r="G32" i="18"/>
  <c r="G31" i="18"/>
  <c r="G18" i="18"/>
  <c r="G19" i="18"/>
  <c r="G20" i="18"/>
  <c r="G21" i="18"/>
  <c r="G17" i="18"/>
  <c r="B6" i="18"/>
  <c r="B5" i="18"/>
  <c r="B4" i="18"/>
  <c r="G34" i="17"/>
  <c r="G33" i="17"/>
  <c r="G18" i="17"/>
  <c r="G19" i="17"/>
  <c r="G20" i="17"/>
  <c r="G21" i="17"/>
  <c r="G22" i="17"/>
  <c r="G23" i="17"/>
  <c r="G17" i="17"/>
  <c r="B6" i="17"/>
  <c r="B5" i="17"/>
  <c r="B4" i="17"/>
  <c r="G31" i="62"/>
  <c r="G30" i="62"/>
  <c r="G18" i="62"/>
  <c r="G19" i="62"/>
  <c r="G20" i="62"/>
  <c r="G17" i="62"/>
  <c r="B6" i="62"/>
  <c r="B5" i="62"/>
  <c r="B4" i="62"/>
  <c r="B3" i="62"/>
  <c r="G31" i="16"/>
  <c r="G32" i="16"/>
  <c r="G30" i="16"/>
  <c r="G33" i="16" s="1"/>
  <c r="G18" i="16"/>
  <c r="G19" i="16"/>
  <c r="G20" i="16"/>
  <c r="G17" i="16"/>
  <c r="B6" i="16"/>
  <c r="B5" i="16"/>
  <c r="B4" i="16"/>
  <c r="G35" i="52"/>
  <c r="G13" i="52" s="1"/>
  <c r="G33" i="52"/>
  <c r="G34" i="52"/>
  <c r="G32" i="52"/>
  <c r="G19" i="52"/>
  <c r="G20" i="52"/>
  <c r="G21" i="52"/>
  <c r="G22" i="52"/>
  <c r="G18" i="52"/>
  <c r="G12" i="52"/>
  <c r="G33" i="49"/>
  <c r="G34" i="49"/>
  <c r="G32" i="49"/>
  <c r="G20" i="49"/>
  <c r="G21" i="49"/>
  <c r="G22" i="49"/>
  <c r="G19" i="49"/>
  <c r="G13" i="49"/>
  <c r="G12" i="49"/>
  <c r="G27" i="12"/>
  <c r="B6" i="12"/>
  <c r="B5" i="12"/>
  <c r="B3" i="12"/>
  <c r="B4" i="12"/>
  <c r="G30" i="58"/>
  <c r="G29" i="58"/>
  <c r="G18" i="58"/>
  <c r="G17" i="58"/>
  <c r="B3" i="58"/>
  <c r="B3" i="57"/>
  <c r="G30" i="57"/>
  <c r="G29" i="57"/>
  <c r="G18" i="57"/>
  <c r="G17" i="57"/>
  <c r="B4" i="57"/>
  <c r="G30" i="48"/>
  <c r="G29" i="48"/>
  <c r="G18" i="48"/>
  <c r="G17" i="48"/>
  <c r="B3" i="48"/>
  <c r="B4" i="48"/>
  <c r="G30" i="56"/>
  <c r="G29" i="56"/>
  <c r="G18" i="56"/>
  <c r="G19" i="56"/>
  <c r="G17" i="56"/>
  <c r="B6" i="56"/>
  <c r="B3" i="56"/>
  <c r="B4" i="56"/>
  <c r="G30" i="11"/>
  <c r="G29" i="11"/>
  <c r="G18" i="11"/>
  <c r="G19" i="11"/>
  <c r="G17" i="11"/>
  <c r="B6" i="11"/>
  <c r="B5" i="11"/>
  <c r="B4" i="11"/>
  <c r="G30" i="10"/>
  <c r="G29" i="10"/>
  <c r="G18" i="10"/>
  <c r="G19" i="10"/>
  <c r="G17" i="10"/>
  <c r="B6" i="10"/>
  <c r="B5" i="10"/>
  <c r="B4" i="10"/>
  <c r="G35" i="51"/>
  <c r="G36" i="51"/>
  <c r="G34" i="51"/>
  <c r="G18" i="51"/>
  <c r="G19" i="51"/>
  <c r="G20" i="51"/>
  <c r="G21" i="51"/>
  <c r="G22" i="51"/>
  <c r="G23" i="51"/>
  <c r="G24" i="51"/>
  <c r="G17" i="51"/>
  <c r="B6" i="51"/>
  <c r="B4" i="51"/>
  <c r="G39" i="9"/>
  <c r="G40" i="9"/>
  <c r="G38" i="9"/>
  <c r="G18" i="9"/>
  <c r="G19" i="9"/>
  <c r="G20" i="9"/>
  <c r="G21" i="9"/>
  <c r="G22" i="9"/>
  <c r="G23" i="9"/>
  <c r="G24" i="9"/>
  <c r="G25" i="9"/>
  <c r="G26" i="9"/>
  <c r="G27" i="9"/>
  <c r="G28" i="9"/>
  <c r="G17" i="9"/>
  <c r="G27" i="8"/>
  <c r="B4" i="8"/>
  <c r="B4" i="7"/>
  <c r="B6" i="9"/>
  <c r="B5" i="9"/>
  <c r="B4" i="9"/>
  <c r="B4" i="6"/>
  <c r="B6" i="7"/>
  <c r="B5" i="7"/>
  <c r="G29" i="4"/>
  <c r="G28" i="4"/>
  <c r="G13" i="4"/>
  <c r="G12" i="4"/>
  <c r="B6" i="6"/>
  <c r="B6" i="5"/>
  <c r="B4" i="5"/>
  <c r="B4" i="4"/>
  <c r="B3" i="4"/>
  <c r="B6" i="38"/>
  <c r="B5" i="38"/>
  <c r="B4" i="38"/>
  <c r="B3" i="38"/>
  <c r="G32" i="38"/>
  <c r="G33" i="38"/>
  <c r="G31" i="38"/>
  <c r="G20" i="38"/>
  <c r="G21" i="38"/>
  <c r="G19" i="38"/>
  <c r="G18" i="38"/>
  <c r="G12" i="38"/>
  <c r="G14" i="52" l="1"/>
  <c r="G29" i="9"/>
  <c r="G23" i="52"/>
  <c r="G37" i="52" s="1"/>
  <c r="G40" i="52" s="1"/>
  <c r="G42" i="52" s="1"/>
  <c r="G23" i="1" s="1"/>
  <c r="G20" i="67"/>
  <c r="G21" i="67"/>
  <c r="G27" i="67" s="1"/>
  <c r="G22" i="67"/>
  <c r="G23" i="67"/>
  <c r="G24" i="67"/>
  <c r="G25" i="67"/>
  <c r="G26" i="67"/>
  <c r="G19" i="67"/>
  <c r="G18" i="67"/>
  <c r="G12" i="67"/>
  <c r="G39" i="67"/>
  <c r="G13" i="67" s="1"/>
  <c r="G14" i="67" s="1"/>
  <c r="E361" i="31"/>
  <c r="G361" i="31" s="1"/>
  <c r="G362" i="31" s="1"/>
  <c r="F52" i="1" s="1"/>
  <c r="B6" i="67"/>
  <c r="E359" i="31"/>
  <c r="B359" i="31"/>
  <c r="G1" i="67"/>
  <c r="G41" i="67" l="1"/>
  <c r="G44" i="67" s="1"/>
  <c r="E348" i="31"/>
  <c r="G348" i="31" s="1"/>
  <c r="G349" i="31" s="1"/>
  <c r="G350" i="31" s="1"/>
  <c r="E355" i="31"/>
  <c r="G355" i="31" s="1"/>
  <c r="G356" i="31" s="1"/>
  <c r="F51" i="1" s="1"/>
  <c r="E353" i="31"/>
  <c r="E346" i="31"/>
  <c r="E340" i="31"/>
  <c r="B340" i="31"/>
  <c r="B346" i="31"/>
  <c r="B353" i="31"/>
  <c r="E342" i="31"/>
  <c r="G342" i="31" s="1"/>
  <c r="G343" i="31" s="1"/>
  <c r="F49" i="1" s="1"/>
  <c r="E334" i="31"/>
  <c r="B334" i="31"/>
  <c r="E336" i="31"/>
  <c r="G336" i="31" s="1"/>
  <c r="G337" i="31" s="1"/>
  <c r="F48" i="1" s="1"/>
  <c r="G35" i="63"/>
  <c r="G23" i="63"/>
  <c r="G39" i="64"/>
  <c r="G28" i="64"/>
  <c r="G32" i="65"/>
  <c r="G21" i="65"/>
  <c r="G32" i="66"/>
  <c r="G21" i="66"/>
  <c r="G34" i="66" s="1"/>
  <c r="G37" i="66" s="1"/>
  <c r="G1" i="66"/>
  <c r="G1" i="65"/>
  <c r="G1" i="64"/>
  <c r="G1" i="63"/>
  <c r="G29" i="55"/>
  <c r="G12" i="55" s="1"/>
  <c r="G13" i="55" s="1"/>
  <c r="G37" i="54"/>
  <c r="G13" i="54" s="1"/>
  <c r="G26" i="54"/>
  <c r="G14" i="54"/>
  <c r="G39" i="54" s="1"/>
  <c r="G42" i="54" s="1"/>
  <c r="G31" i="56"/>
  <c r="G20" i="56"/>
  <c r="G37" i="51"/>
  <c r="G12" i="51" s="1"/>
  <c r="G25" i="51"/>
  <c r="G39" i="51" s="1"/>
  <c r="G42" i="51" s="1"/>
  <c r="E293" i="31"/>
  <c r="G293" i="31" s="1"/>
  <c r="E286" i="31"/>
  <c r="G286" i="31" s="1"/>
  <c r="F278" i="31"/>
  <c r="E215" i="31"/>
  <c r="G215" i="31" s="1"/>
  <c r="E216" i="31"/>
  <c r="G216" i="31" s="1"/>
  <c r="E217" i="31"/>
  <c r="G217" i="31" s="1"/>
  <c r="E207" i="31"/>
  <c r="G207" i="31" s="1"/>
  <c r="E206" i="31"/>
  <c r="G206" i="31" s="1"/>
  <c r="E199" i="31"/>
  <c r="G199" i="31" s="1"/>
  <c r="E198" i="31"/>
  <c r="G198" i="31" s="1"/>
  <c r="E191" i="31"/>
  <c r="G191" i="31" s="1"/>
  <c r="E190" i="31"/>
  <c r="G190" i="31" s="1"/>
  <c r="E189" i="31"/>
  <c r="G189" i="31" s="1"/>
  <c r="B182" i="31"/>
  <c r="D182" i="31" s="1"/>
  <c r="E182" i="31" s="1"/>
  <c r="G182" i="31" s="1"/>
  <c r="B181" i="31"/>
  <c r="D181" i="31" s="1"/>
  <c r="E181" i="31" s="1"/>
  <c r="G181" i="31" s="1"/>
  <c r="B180" i="31"/>
  <c r="D180" i="31" s="1"/>
  <c r="E180" i="31" s="1"/>
  <c r="G180" i="31" s="1"/>
  <c r="B179" i="31"/>
  <c r="D179" i="31" s="1"/>
  <c r="E179" i="31" s="1"/>
  <c r="G179" i="31" s="1"/>
  <c r="G183" i="31" l="1"/>
  <c r="G34" i="65"/>
  <c r="G37" i="65" s="1"/>
  <c r="G12" i="56"/>
  <c r="G13" i="56" s="1"/>
  <c r="G33" i="56" s="1"/>
  <c r="G46" i="67"/>
  <c r="G52" i="1" s="1"/>
  <c r="H52" i="1" s="1"/>
  <c r="G14" i="63"/>
  <c r="G15" i="63" s="1"/>
  <c r="G37" i="63" s="1"/>
  <c r="G15" i="64"/>
  <c r="G16" i="64" s="1"/>
  <c r="G41" i="64" s="1"/>
  <c r="G44" i="64" s="1"/>
  <c r="G39" i="65"/>
  <c r="G49" i="1" s="1"/>
  <c r="H49" i="1" s="1"/>
  <c r="G31" i="55"/>
  <c r="G34" i="55" s="1"/>
  <c r="G36" i="55" s="1"/>
  <c r="G46" i="1" s="1"/>
  <c r="G44" i="54"/>
  <c r="G45" i="1" s="1"/>
  <c r="G44" i="51"/>
  <c r="G15" i="1" s="1"/>
  <c r="F50" i="1"/>
  <c r="D278" i="31"/>
  <c r="G39" i="66"/>
  <c r="G48" i="1" s="1"/>
  <c r="H48" i="1" s="1"/>
  <c r="C145" i="31"/>
  <c r="C148" i="31"/>
  <c r="C147" i="31"/>
  <c r="C146" i="31"/>
  <c r="E124" i="31"/>
  <c r="G124" i="31" s="1"/>
  <c r="E123" i="31"/>
  <c r="G123" i="31" s="1"/>
  <c r="E116" i="31"/>
  <c r="G116" i="31" s="1"/>
  <c r="E84" i="31"/>
  <c r="G84" i="31" s="1"/>
  <c r="E85" i="31"/>
  <c r="G85" i="31" s="1"/>
  <c r="E77" i="31"/>
  <c r="G77" i="31" s="1"/>
  <c r="E17" i="61"/>
  <c r="G17" i="61" s="1"/>
  <c r="G32" i="62"/>
  <c r="G21" i="62"/>
  <c r="G1" i="62"/>
  <c r="G117" i="31" l="1"/>
  <c r="F18" i="1" s="1"/>
  <c r="G36" i="56"/>
  <c r="G38" i="56"/>
  <c r="G18" i="1" s="1"/>
  <c r="G40" i="63"/>
  <c r="G42" i="63" s="1"/>
  <c r="G51" i="1" s="1"/>
  <c r="H51" i="1" s="1"/>
  <c r="G46" i="64"/>
  <c r="G50" i="1" s="1"/>
  <c r="H50" i="1" s="1"/>
  <c r="G12" i="62"/>
  <c r="G13" i="62" s="1"/>
  <c r="G34" i="62" s="1"/>
  <c r="H18" i="1" l="1"/>
  <c r="G37" i="62"/>
  <c r="G39" i="62" s="1"/>
  <c r="G26" i="1" s="1"/>
  <c r="G18" i="61"/>
  <c r="G30" i="61" s="1"/>
  <c r="G33" i="61" s="1"/>
  <c r="B6" i="61"/>
  <c r="G1" i="61"/>
  <c r="B328" i="31"/>
  <c r="E330" i="31"/>
  <c r="G330" i="31" s="1"/>
  <c r="G331" i="31" s="1"/>
  <c r="F47" i="1" s="1"/>
  <c r="E177" i="31"/>
  <c r="B177" i="31"/>
  <c r="B140" i="31"/>
  <c r="G35" i="61" l="1"/>
  <c r="G47" i="1" s="1"/>
  <c r="H47" i="1" s="1"/>
  <c r="F26" i="1"/>
  <c r="H26" i="1" s="1"/>
  <c r="B5" i="56"/>
  <c r="E152" i="31"/>
  <c r="B152" i="31"/>
  <c r="E134" i="31"/>
  <c r="B134" i="31"/>
  <c r="E128" i="31"/>
  <c r="B128" i="31"/>
  <c r="E130" i="31"/>
  <c r="G130" i="31" s="1"/>
  <c r="G131" i="31" s="1"/>
  <c r="F20" i="1" s="1"/>
  <c r="E19" i="58"/>
  <c r="G31" i="58"/>
  <c r="G1" i="58"/>
  <c r="E19" i="57"/>
  <c r="G19" i="57" s="1"/>
  <c r="E19" i="48"/>
  <c r="G19" i="48" s="1"/>
  <c r="G31" i="57"/>
  <c r="G1" i="57"/>
  <c r="G20" i="58" l="1"/>
  <c r="G19" i="58"/>
  <c r="G12" i="58"/>
  <c r="G13" i="58" s="1"/>
  <c r="G12" i="57"/>
  <c r="G13" i="57" s="1"/>
  <c r="G20" i="57"/>
  <c r="G33" i="58" l="1"/>
  <c r="G36" i="58" s="1"/>
  <c r="G33" i="57"/>
  <c r="E324" i="31"/>
  <c r="G324" i="31" s="1"/>
  <c r="G325" i="31" s="1"/>
  <c r="E322" i="31"/>
  <c r="B322" i="31"/>
  <c r="E318" i="31"/>
  <c r="G318" i="31" s="1"/>
  <c r="G319" i="31" s="1"/>
  <c r="F45" i="1" s="1"/>
  <c r="H45" i="1" s="1"/>
  <c r="E316" i="31"/>
  <c r="B316" i="31"/>
  <c r="G1" i="56"/>
  <c r="E17" i="43"/>
  <c r="G17" i="43" s="1"/>
  <c r="E75" i="31"/>
  <c r="E113" i="31"/>
  <c r="B113" i="31"/>
  <c r="E157" i="31"/>
  <c r="G157" i="31" s="1"/>
  <c r="E156" i="31"/>
  <c r="G156" i="31" s="1"/>
  <c r="F23" i="1" s="1"/>
  <c r="H23" i="1" s="1"/>
  <c r="E155" i="31"/>
  <c r="G155" i="31" s="1"/>
  <c r="E154" i="31"/>
  <c r="G38" i="58" l="1"/>
  <c r="G21" i="1" s="1"/>
  <c r="G36" i="57"/>
  <c r="G38" i="57" s="1"/>
  <c r="G20" i="1" s="1"/>
  <c r="H20" i="1" s="1"/>
  <c r="F46" i="1"/>
  <c r="H46" i="1" s="1"/>
  <c r="G154" i="31"/>
  <c r="G158" i="31" s="1"/>
  <c r="E76" i="31" s="1"/>
  <c r="G1" i="55"/>
  <c r="G1" i="54"/>
  <c r="G1" i="52"/>
  <c r="G76" i="31" l="1"/>
  <c r="E109" i="31"/>
  <c r="G109" i="31" s="1"/>
  <c r="E108" i="31"/>
  <c r="G108" i="31" s="1"/>
  <c r="E101" i="31"/>
  <c r="G101" i="31" s="1"/>
  <c r="E100" i="31"/>
  <c r="G100" i="31" s="1"/>
  <c r="E99" i="31"/>
  <c r="G99" i="31" s="1"/>
  <c r="E98" i="31"/>
  <c r="G98" i="31" s="1"/>
  <c r="E72" i="31"/>
  <c r="G72" i="31" s="1"/>
  <c r="E73" i="31"/>
  <c r="G73" i="31" s="1"/>
  <c r="E71" i="31"/>
  <c r="G71" i="31" s="1"/>
  <c r="B146" i="31" s="1"/>
  <c r="D146" i="31" s="1"/>
  <c r="E146" i="31" s="1"/>
  <c r="G146" i="31" s="1"/>
  <c r="E70" i="31"/>
  <c r="G70" i="31" s="1"/>
  <c r="B145" i="31" s="1"/>
  <c r="D145" i="31" s="1"/>
  <c r="E145" i="31" s="1"/>
  <c r="G145" i="31" s="1"/>
  <c r="E69" i="31"/>
  <c r="G69" i="31" s="1"/>
  <c r="E89" i="31"/>
  <c r="B5" i="51"/>
  <c r="G1" i="51"/>
  <c r="G31" i="50"/>
  <c r="G12" i="50" s="1"/>
  <c r="G13" i="50" s="1"/>
  <c r="G20" i="50"/>
  <c r="B3" i="50"/>
  <c r="G1" i="50"/>
  <c r="B147" i="31" l="1"/>
  <c r="D147" i="31" s="1"/>
  <c r="E147" i="31" s="1"/>
  <c r="G147" i="31" s="1"/>
  <c r="B144" i="31"/>
  <c r="D144" i="31" s="1"/>
  <c r="E144" i="31" s="1"/>
  <c r="G144" i="31" s="1"/>
  <c r="B148" i="31"/>
  <c r="D148" i="31" s="1"/>
  <c r="E148" i="31" s="1"/>
  <c r="G148" i="31" s="1"/>
  <c r="G33" i="50"/>
  <c r="G36" i="50" s="1"/>
  <c r="G38" i="50"/>
  <c r="G40" i="1" s="1"/>
  <c r="E13" i="31"/>
  <c r="G13" i="31" s="1"/>
  <c r="G14" i="31" s="1"/>
  <c r="F9" i="1" s="1"/>
  <c r="E11" i="31"/>
  <c r="B11" i="31"/>
  <c r="G21" i="28" l="1"/>
  <c r="G34" i="28" s="1"/>
  <c r="G37" i="28" s="1"/>
  <c r="G39" i="28" l="1"/>
  <c r="G38" i="1" s="1"/>
  <c r="G29" i="47"/>
  <c r="G12" i="47" s="1"/>
  <c r="G13" i="47" s="1"/>
  <c r="G19" i="47"/>
  <c r="G31" i="29"/>
  <c r="G13" i="29" s="1"/>
  <c r="G14" i="29" s="1"/>
  <c r="G33" i="29" s="1"/>
  <c r="G36" i="29" s="1"/>
  <c r="G18" i="27"/>
  <c r="G30" i="27" s="1"/>
  <c r="G33" i="27" s="1"/>
  <c r="G31" i="26"/>
  <c r="G12" i="26" s="1"/>
  <c r="G13" i="26" s="1"/>
  <c r="G20" i="26"/>
  <c r="G33" i="26" l="1"/>
  <c r="G36" i="26" s="1"/>
  <c r="G38" i="26" s="1"/>
  <c r="G36" i="1" s="1"/>
  <c r="G31" i="47"/>
  <c r="G34" i="47" s="1"/>
  <c r="G38" i="29"/>
  <c r="G39" i="1" s="1"/>
  <c r="G35" i="27"/>
  <c r="G37" i="1" s="1"/>
  <c r="G29" i="25"/>
  <c r="G12" i="25" s="1"/>
  <c r="G13" i="25" s="1"/>
  <c r="G18" i="25"/>
  <c r="G31" i="25" s="1"/>
  <c r="G34" i="25" s="1"/>
  <c r="G35" i="23"/>
  <c r="G24" i="23"/>
  <c r="G36" i="22"/>
  <c r="G12" i="22" s="1"/>
  <c r="G13" i="22" s="1"/>
  <c r="G25" i="22"/>
  <c r="G38" i="22" s="1"/>
  <c r="G41" i="22" s="1"/>
  <c r="G12" i="21"/>
  <c r="G13" i="21" s="1"/>
  <c r="G38" i="21" s="1"/>
  <c r="G41" i="21" s="1"/>
  <c r="G34" i="20"/>
  <c r="G23" i="20"/>
  <c r="G33" i="19"/>
  <c r="G12" i="19" s="1"/>
  <c r="G13" i="19" s="1"/>
  <c r="G22" i="19"/>
  <c r="G36" i="47" l="1"/>
  <c r="G41" i="1" s="1"/>
  <c r="G12" i="23"/>
  <c r="G13" i="23" s="1"/>
  <c r="G37" i="23" s="1"/>
  <c r="G43" i="22"/>
  <c r="G32" i="1" s="1"/>
  <c r="G43" i="21"/>
  <c r="G31" i="1" s="1"/>
  <c r="G12" i="20"/>
  <c r="G13" i="20" s="1"/>
  <c r="G36" i="20" s="1"/>
  <c r="G36" i="25"/>
  <c r="G34" i="1" s="1"/>
  <c r="G35" i="19"/>
  <c r="G42" i="23" l="1"/>
  <c r="G33" i="1" s="1"/>
  <c r="G40" i="23"/>
  <c r="G38" i="19"/>
  <c r="G40" i="19" s="1"/>
  <c r="G29" i="1" s="1"/>
  <c r="G39" i="20"/>
  <c r="G41" i="20" s="1"/>
  <c r="G30" i="1" s="1"/>
  <c r="G33" i="18"/>
  <c r="G12" i="18" s="1"/>
  <c r="G13" i="18" s="1"/>
  <c r="G22" i="18"/>
  <c r="G35" i="18" s="1"/>
  <c r="G38" i="18" s="1"/>
  <c r="G35" i="17"/>
  <c r="G24" i="17"/>
  <c r="G21" i="16"/>
  <c r="G35" i="49"/>
  <c r="G23" i="49"/>
  <c r="G28" i="12"/>
  <c r="G12" i="12" s="1"/>
  <c r="G13" i="12" s="1"/>
  <c r="G31" i="11"/>
  <c r="G20" i="11"/>
  <c r="G20" i="10"/>
  <c r="G33" i="10" s="1"/>
  <c r="G36" i="10" s="1"/>
  <c r="G31" i="10"/>
  <c r="G12" i="10" s="1"/>
  <c r="G41" i="9"/>
  <c r="G28" i="8"/>
  <c r="G29" i="6"/>
  <c r="G28" i="6"/>
  <c r="G27" i="6"/>
  <c r="G30" i="6" s="1"/>
  <c r="G32" i="6" s="1"/>
  <c r="G12" i="6"/>
  <c r="G13" i="6" s="1"/>
  <c r="G33" i="7"/>
  <c r="G32" i="7"/>
  <c r="G31" i="7"/>
  <c r="G30" i="7"/>
  <c r="G34" i="7" s="1"/>
  <c r="G29" i="7"/>
  <c r="G19" i="7"/>
  <c r="G20" i="7" s="1"/>
  <c r="G14" i="7"/>
  <c r="G13" i="7"/>
  <c r="G12" i="7"/>
  <c r="G15" i="7" s="1"/>
  <c r="G33" i="5"/>
  <c r="G32" i="5"/>
  <c r="G31" i="5"/>
  <c r="G30" i="5"/>
  <c r="G29" i="5"/>
  <c r="G34" i="5" s="1"/>
  <c r="G14" i="5"/>
  <c r="G13" i="5"/>
  <c r="G12" i="5"/>
  <c r="G15" i="5" s="1"/>
  <c r="G34" i="38"/>
  <c r="G13" i="38" s="1"/>
  <c r="G14" i="38" s="1"/>
  <c r="G22" i="38"/>
  <c r="G36" i="38" s="1"/>
  <c r="G39" i="38" s="1"/>
  <c r="G35" i="6" l="1"/>
  <c r="G37" i="6" s="1"/>
  <c r="G11" i="1" s="1"/>
  <c r="G36" i="5"/>
  <c r="G33" i="11"/>
  <c r="G36" i="11" s="1"/>
  <c r="G36" i="7"/>
  <c r="G12" i="17"/>
  <c r="G13" i="17" s="1"/>
  <c r="G37" i="17" s="1"/>
  <c r="G12" i="16"/>
  <c r="G13" i="16" s="1"/>
  <c r="G35" i="16" s="1"/>
  <c r="G14" i="49"/>
  <c r="G15" i="49" s="1"/>
  <c r="G37" i="49" s="1"/>
  <c r="G30" i="12"/>
  <c r="G33" i="12" s="1"/>
  <c r="G12" i="9"/>
  <c r="G13" i="9" s="1"/>
  <c r="G43" i="9" s="1"/>
  <c r="G12" i="8"/>
  <c r="G13" i="8" s="1"/>
  <c r="G30" i="8" s="1"/>
  <c r="G41" i="38"/>
  <c r="G8" i="1" s="1"/>
  <c r="G40" i="18"/>
  <c r="G28" i="1" s="1"/>
  <c r="G39" i="7"/>
  <c r="G41" i="7" s="1"/>
  <c r="G12" i="1" s="1"/>
  <c r="G38" i="10"/>
  <c r="G16" i="1" s="1"/>
  <c r="G163" i="31"/>
  <c r="G164" i="31" s="1"/>
  <c r="G1" i="49"/>
  <c r="G35" i="8" l="1"/>
  <c r="G13" i="1" s="1"/>
  <c r="G33" i="8"/>
  <c r="G38" i="11"/>
  <c r="G17" i="1" s="1"/>
  <c r="G39" i="5"/>
  <c r="G41" i="5" s="1"/>
  <c r="G10" i="1" s="1"/>
  <c r="G40" i="17"/>
  <c r="G42" i="17" s="1"/>
  <c r="G27" i="1" s="1"/>
  <c r="G38" i="16"/>
  <c r="G40" i="16" s="1"/>
  <c r="G25" i="1" s="1"/>
  <c r="G46" i="9"/>
  <c r="G48" i="9" s="1"/>
  <c r="G14" i="1" s="1"/>
  <c r="G40" i="49"/>
  <c r="G42" i="49" s="1"/>
  <c r="G24" i="1" s="1"/>
  <c r="G35" i="12"/>
  <c r="G22" i="1" s="1"/>
  <c r="G28" i="34"/>
  <c r="G12" i="34" s="1"/>
  <c r="G13" i="34" s="1"/>
  <c r="B6" i="4"/>
  <c r="G30" i="34" l="1"/>
  <c r="G33" i="34" s="1"/>
  <c r="G14" i="4"/>
  <c r="G35" i="34" l="1"/>
  <c r="G61" i="1" s="1"/>
  <c r="G20" i="48" l="1"/>
  <c r="G31" i="48"/>
  <c r="G12" i="48" s="1"/>
  <c r="G13" i="48" s="1"/>
  <c r="B6" i="48"/>
  <c r="G1" i="48"/>
  <c r="G33" i="48" l="1"/>
  <c r="G36" i="48" s="1"/>
  <c r="G38" i="48"/>
  <c r="G19" i="1" s="1"/>
  <c r="G1" i="47"/>
  <c r="B290" i="31" l="1"/>
  <c r="E292" i="31"/>
  <c r="G292" i="31" s="1"/>
  <c r="E290" i="31"/>
  <c r="G18" i="43"/>
  <c r="G30" i="43" s="1"/>
  <c r="G33" i="43" s="1"/>
  <c r="G18" i="36"/>
  <c r="G30" i="36" s="1"/>
  <c r="G33" i="36" s="1"/>
  <c r="G18" i="35"/>
  <c r="G30" i="35" s="1"/>
  <c r="G33" i="35" s="1"/>
  <c r="B3" i="43"/>
  <c r="B3" i="29"/>
  <c r="B3" i="27"/>
  <c r="B3" i="25"/>
  <c r="B3" i="23"/>
  <c r="B3" i="21"/>
  <c r="B3" i="19"/>
  <c r="B3" i="18"/>
  <c r="B3" i="17"/>
  <c r="B3" i="16"/>
  <c r="B3" i="11"/>
  <c r="B3" i="10"/>
  <c r="B3" i="9"/>
  <c r="B3" i="8"/>
  <c r="B3" i="7"/>
  <c r="B3" i="6"/>
  <c r="B3" i="5"/>
  <c r="B5" i="43"/>
  <c r="B5" i="36"/>
  <c r="B5" i="35"/>
  <c r="G1" i="43"/>
  <c r="B6" i="26"/>
  <c r="G1" i="38"/>
  <c r="E432" i="31"/>
  <c r="G432" i="31" s="1"/>
  <c r="B173" i="31"/>
  <c r="D173" i="31" s="1"/>
  <c r="B172" i="31"/>
  <c r="B171" i="31"/>
  <c r="E310" i="31"/>
  <c r="B310" i="31"/>
  <c r="E312" i="31"/>
  <c r="G312" i="31" s="1"/>
  <c r="G313" i="31" s="1"/>
  <c r="F44" i="1" s="1"/>
  <c r="E120" i="31"/>
  <c r="B120" i="31"/>
  <c r="E122" i="31"/>
  <c r="G122" i="31" s="1"/>
  <c r="B89" i="31"/>
  <c r="E91" i="31"/>
  <c r="G91" i="31" s="1"/>
  <c r="G92" i="31" s="1"/>
  <c r="F15" i="1" s="1"/>
  <c r="H15" i="1" s="1"/>
  <c r="G75" i="31"/>
  <c r="G35" i="36" l="1"/>
  <c r="G43" i="1" s="1"/>
  <c r="G35" i="35"/>
  <c r="G42" i="1" s="1"/>
  <c r="G294" i="31"/>
  <c r="F41" i="1" s="1"/>
  <c r="H41" i="1" s="1"/>
  <c r="G125" i="31"/>
  <c r="F19" i="1" s="1"/>
  <c r="H19" i="1" s="1"/>
  <c r="G35" i="43"/>
  <c r="G44" i="1" s="1"/>
  <c r="H44" i="1" s="1"/>
  <c r="E173" i="31"/>
  <c r="G173" i="31" s="1"/>
  <c r="D171" i="31"/>
  <c r="E171" i="31" s="1"/>
  <c r="G171" i="31" s="1"/>
  <c r="E252" i="31" l="1"/>
  <c r="G252" i="31" s="1"/>
  <c r="E250" i="31"/>
  <c r="B250" i="31"/>
  <c r="E253" i="31"/>
  <c r="G253" i="31" s="1"/>
  <c r="E246" i="31"/>
  <c r="G246" i="31" s="1"/>
  <c r="E245" i="31"/>
  <c r="G245" i="31" s="1"/>
  <c r="E214" i="31"/>
  <c r="G214" i="31" s="1"/>
  <c r="G218" i="31" s="1"/>
  <c r="E230" i="31"/>
  <c r="G230" i="31" s="1"/>
  <c r="E306" i="31"/>
  <c r="G306" i="31" s="1"/>
  <c r="G307" i="31" s="1"/>
  <c r="F43" i="1" s="1"/>
  <c r="H43" i="1" s="1"/>
  <c r="E300" i="31"/>
  <c r="G300" i="31" s="1"/>
  <c r="E299" i="31"/>
  <c r="G299" i="31" s="1"/>
  <c r="E431" i="31"/>
  <c r="G431" i="31" s="1"/>
  <c r="G433" i="31" s="1"/>
  <c r="E278" i="31"/>
  <c r="G278" i="31" s="1"/>
  <c r="G280" i="31" s="1"/>
  <c r="E285" i="31"/>
  <c r="G285" i="31" s="1"/>
  <c r="G287" i="31" s="1"/>
  <c r="E272" i="31"/>
  <c r="G272" i="31" s="1"/>
  <c r="G273" i="31" s="1"/>
  <c r="G266" i="31"/>
  <c r="G267" i="31" s="1"/>
  <c r="E260" i="31"/>
  <c r="G260" i="31" s="1"/>
  <c r="G261" i="31" s="1"/>
  <c r="E238" i="31"/>
  <c r="G238" i="31" s="1"/>
  <c r="E237" i="31"/>
  <c r="G237" i="31" s="1"/>
  <c r="E231" i="31"/>
  <c r="G231" i="31" s="1"/>
  <c r="E224" i="31"/>
  <c r="G224" i="31" s="1"/>
  <c r="E223" i="31"/>
  <c r="G223" i="31" s="1"/>
  <c r="E205" i="31"/>
  <c r="G205" i="31" s="1"/>
  <c r="G209" i="31" s="1"/>
  <c r="E197" i="31"/>
  <c r="G197" i="31" s="1"/>
  <c r="G200" i="31" s="1"/>
  <c r="D386" i="31" s="1"/>
  <c r="G255" i="31" l="1"/>
  <c r="D396" i="31" s="1"/>
  <c r="E396" i="31" s="1"/>
  <c r="G396" i="31" s="1"/>
  <c r="G398" i="31" s="1"/>
  <c r="F57" i="1" s="1"/>
  <c r="H57" i="1" s="1"/>
  <c r="F35" i="1"/>
  <c r="H35" i="1" s="1"/>
  <c r="E386" i="31"/>
  <c r="G386" i="31" s="1"/>
  <c r="G387" i="31" s="1"/>
  <c r="F56" i="1" s="1"/>
  <c r="H56" i="1" s="1"/>
  <c r="E403" i="31"/>
  <c r="G403" i="31" s="1"/>
  <c r="G404" i="31" s="1"/>
  <c r="G225" i="31"/>
  <c r="F61" i="1"/>
  <c r="H61" i="1" s="1"/>
  <c r="G301" i="31"/>
  <c r="F42" i="1" s="1"/>
  <c r="H42" i="1" s="1"/>
  <c r="J43" i="1" s="1"/>
  <c r="G247" i="31"/>
  <c r="G232" i="31"/>
  <c r="G239" i="31"/>
  <c r="F58" i="1" l="1"/>
  <c r="H58" i="1" s="1"/>
  <c r="E188" i="31"/>
  <c r="G188" i="31" s="1"/>
  <c r="G192" i="31" s="1"/>
  <c r="D172" i="31"/>
  <c r="E172" i="31" s="1"/>
  <c r="G172" i="31" s="1"/>
  <c r="D170" i="31"/>
  <c r="E170" i="31" l="1"/>
  <c r="G170" i="31" s="1"/>
  <c r="G174" i="31" s="1"/>
  <c r="F25" i="1" s="1"/>
  <c r="E68" i="31" l="1"/>
  <c r="G68" i="31" s="1"/>
  <c r="E74" i="31"/>
  <c r="G74" i="31" s="1"/>
  <c r="E83" i="31"/>
  <c r="G83" i="31" s="1"/>
  <c r="E61" i="31"/>
  <c r="G61" i="31" s="1"/>
  <c r="G78" i="31" l="1"/>
  <c r="B143" i="31"/>
  <c r="D143" i="31" s="1"/>
  <c r="E143" i="31" s="1"/>
  <c r="G143" i="31" s="1"/>
  <c r="G149" i="31" s="1"/>
  <c r="G86" i="31"/>
  <c r="F14" i="1" s="1"/>
  <c r="H14" i="1" s="1"/>
  <c r="G62" i="31"/>
  <c r="E97" i="31"/>
  <c r="G97" i="31" s="1"/>
  <c r="G102" i="31" s="1"/>
  <c r="E107" i="31"/>
  <c r="G107" i="31" s="1"/>
  <c r="G110" i="31" s="1"/>
  <c r="E20" i="31"/>
  <c r="G20" i="31" s="1"/>
  <c r="G23" i="31" s="1"/>
  <c r="E5" i="31"/>
  <c r="G5" i="31" s="1"/>
  <c r="G8" i="31" s="1"/>
  <c r="E429" i="31"/>
  <c r="B429" i="31"/>
  <c r="E304" i="31"/>
  <c r="B304" i="31"/>
  <c r="E297" i="31"/>
  <c r="B297" i="31"/>
  <c r="B3" i="36"/>
  <c r="G1" i="36"/>
  <c r="B3" i="35"/>
  <c r="G1" i="35"/>
  <c r="G1" i="34"/>
  <c r="G30" i="4" l="1"/>
  <c r="G32" i="4" s="1"/>
  <c r="G35" i="4" s="1"/>
  <c r="F13" i="1"/>
  <c r="H13" i="1" s="1"/>
  <c r="F8" i="1"/>
  <c r="H8" i="1" s="1"/>
  <c r="F40" i="1"/>
  <c r="H40" i="1" s="1"/>
  <c r="F39" i="1"/>
  <c r="H39" i="1" s="1"/>
  <c r="F38" i="1"/>
  <c r="H38" i="1" s="1"/>
  <c r="F37" i="1"/>
  <c r="H37" i="1" s="1"/>
  <c r="F36" i="1"/>
  <c r="H36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4" i="1"/>
  <c r="H24" i="1" s="1"/>
  <c r="F17" i="1"/>
  <c r="H17" i="1" s="1"/>
  <c r="F16" i="1"/>
  <c r="H16" i="1" s="1"/>
  <c r="F10" i="1"/>
  <c r="H10" i="1" s="1"/>
  <c r="E283" i="31"/>
  <c r="B283" i="31"/>
  <c r="E276" i="31"/>
  <c r="B276" i="31"/>
  <c r="E270" i="31"/>
  <c r="B270" i="31"/>
  <c r="E264" i="31"/>
  <c r="B264" i="31"/>
  <c r="E258" i="31"/>
  <c r="B258" i="31"/>
  <c r="E243" i="31"/>
  <c r="B243" i="31"/>
  <c r="E235" i="31"/>
  <c r="B235" i="31"/>
  <c r="E228" i="31"/>
  <c r="B228" i="31"/>
  <c r="E221" i="31"/>
  <c r="B221" i="31"/>
  <c r="E212" i="31"/>
  <c r="B212" i="31"/>
  <c r="E203" i="31"/>
  <c r="B203" i="31"/>
  <c r="E195" i="31"/>
  <c r="B195" i="31"/>
  <c r="E186" i="31"/>
  <c r="B186" i="31"/>
  <c r="E168" i="31"/>
  <c r="B168" i="31"/>
  <c r="E161" i="31"/>
  <c r="B161" i="31"/>
  <c r="E105" i="31"/>
  <c r="B105" i="31"/>
  <c r="E95" i="31"/>
  <c r="B95" i="31"/>
  <c r="E81" i="31"/>
  <c r="B81" i="31"/>
  <c r="E65" i="31"/>
  <c r="B65" i="31"/>
  <c r="E59" i="31"/>
  <c r="E26" i="31"/>
  <c r="B59" i="31"/>
  <c r="B26" i="31"/>
  <c r="E18" i="31"/>
  <c r="B18" i="31"/>
  <c r="E3" i="31"/>
  <c r="B3" i="31"/>
  <c r="H25" i="1"/>
  <c r="G37" i="4" l="1"/>
  <c r="G9" i="1" s="1"/>
  <c r="H9" i="1" s="1"/>
  <c r="E136" i="31"/>
  <c r="G136" i="31" s="1"/>
  <c r="G137" i="31" s="1"/>
  <c r="F21" i="1" s="1"/>
  <c r="H21" i="1" s="1"/>
  <c r="F22" i="1"/>
  <c r="H22" i="1" s="1"/>
  <c r="F11" i="1"/>
  <c r="H11" i="1" s="1"/>
  <c r="F12" i="1"/>
  <c r="H12" i="1" s="1"/>
  <c r="G1" i="29"/>
  <c r="G1" i="28"/>
  <c r="G1" i="27"/>
  <c r="G1" i="26"/>
  <c r="G1" i="25"/>
  <c r="G1" i="23"/>
  <c r="G1" i="22"/>
  <c r="G1" i="21"/>
  <c r="G1" i="20"/>
  <c r="G1" i="19"/>
  <c r="G1" i="18"/>
  <c r="G1" i="17"/>
  <c r="G1" i="16"/>
  <c r="G1" i="12"/>
  <c r="G1" i="11"/>
  <c r="G1" i="10"/>
  <c r="G1" i="9"/>
  <c r="G1" i="8"/>
  <c r="G1" i="7"/>
  <c r="G1" i="6"/>
  <c r="G1" i="5"/>
  <c r="G1" i="4"/>
  <c r="J10" i="1" l="1"/>
  <c r="H62" i="1"/>
  <c r="H63" i="1" s="1"/>
  <c r="H64" i="1" l="1"/>
  <c r="J61" i="1" s="1"/>
</calcChain>
</file>

<file path=xl/comments1.xml><?xml version="1.0" encoding="utf-8"?>
<comments xmlns="http://schemas.openxmlformats.org/spreadsheetml/2006/main">
  <authors>
    <author>PC</author>
  </authors>
  <commentList>
    <comment ref="B26" authorId="0" shapeId="0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Aquí falta calcular el volumen de la rampa de acceso vehicular y de acceso peatonal</t>
        </r>
      </text>
    </comment>
    <comment ref="F178" authorId="0" shapeId="0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 los dos lados</t>
        </r>
      </text>
    </comment>
    <comment ref="B243" authorId="0" shapeId="0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Cable de iluminación</t>
        </r>
      </text>
    </comment>
  </commentList>
</comments>
</file>

<file path=xl/comments2.xml><?xml version="1.0" encoding="utf-8"?>
<comments xmlns="http://schemas.openxmlformats.org/spreadsheetml/2006/main">
  <authors>
    <author>PC</author>
  </authors>
  <commentList>
    <comment ref="G46" authorId="0" shapeId="0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Este precio debe incluir el arreglo de la malla</t>
        </r>
      </text>
    </comment>
  </commentList>
</comments>
</file>

<file path=xl/sharedStrings.xml><?xml version="1.0" encoding="utf-8"?>
<sst xmlns="http://schemas.openxmlformats.org/spreadsheetml/2006/main" count="4367" uniqueCount="575">
  <si>
    <t>Item</t>
  </si>
  <si>
    <t>Codigo</t>
  </si>
  <si>
    <t>Descripcion</t>
  </si>
  <si>
    <t>Unidad</t>
  </si>
  <si>
    <t>Cantidad</t>
  </si>
  <si>
    <t>P.Unitario</t>
  </si>
  <si>
    <t>P.Total</t>
  </si>
  <si>
    <t>SUBTOTAL</t>
  </si>
  <si>
    <t>IVA</t>
  </si>
  <si>
    <t>TOTAL</t>
  </si>
  <si>
    <t>Son:</t>
  </si>
  <si>
    <t>Análisis de  Precios  Unitarios</t>
  </si>
  <si>
    <t>Item:</t>
  </si>
  <si>
    <t>Código:</t>
  </si>
  <si>
    <t>Descrip.:</t>
  </si>
  <si>
    <t>Unidad:</t>
  </si>
  <si>
    <t>COSTOS DIRECTOS</t>
  </si>
  <si>
    <t>Equipo y herramienta</t>
  </si>
  <si>
    <t>Código</t>
  </si>
  <si>
    <t>Descripción</t>
  </si>
  <si>
    <t>Precio</t>
  </si>
  <si>
    <t>Rendim.</t>
  </si>
  <si>
    <t>Total</t>
  </si>
  <si>
    <t xml:space="preserve">Subtotal de Equipo: </t>
  </si>
  <si>
    <t>Materiales</t>
  </si>
  <si>
    <t xml:space="preserve">Subtotal de Materiales: </t>
  </si>
  <si>
    <t>Transporte</t>
  </si>
  <si>
    <t>Tarifa/U</t>
  </si>
  <si>
    <t>Distancia</t>
  </si>
  <si>
    <t xml:space="preserve">Subtotal de Transporte: </t>
  </si>
  <si>
    <t>Mano de Obra</t>
  </si>
  <si>
    <t>Número</t>
  </si>
  <si>
    <t>S.R.H.</t>
  </si>
  <si>
    <t xml:space="preserve">Subtotal de Mano de Obra: </t>
  </si>
  <si>
    <t xml:space="preserve">Costo Directo Total: </t>
  </si>
  <si>
    <t>COSTOS INDIRECTOS</t>
  </si>
  <si>
    <t>Precio Unitario Total .................................................................................................</t>
  </si>
  <si>
    <t>YAHUARCOCHA</t>
  </si>
  <si>
    <t>m2</t>
  </si>
  <si>
    <t>519112</t>
  </si>
  <si>
    <t>Conformación compactación de subrasante</t>
  </si>
  <si>
    <t>519109</t>
  </si>
  <si>
    <t>Excavación sin clasificar</t>
  </si>
  <si>
    <t>m3</t>
  </si>
  <si>
    <t>518307</t>
  </si>
  <si>
    <t>Mejoramiento de suelo con lastre inc. material</t>
  </si>
  <si>
    <t>510005</t>
  </si>
  <si>
    <t>Excavación a mano</t>
  </si>
  <si>
    <t>u</t>
  </si>
  <si>
    <t>514294</t>
  </si>
  <si>
    <t>m</t>
  </si>
  <si>
    <t>515281</t>
  </si>
  <si>
    <t>Tuberia PVC 50 mm de uso sanitario</t>
  </si>
  <si>
    <t>510006</t>
  </si>
  <si>
    <t>Relleno compactado a mano</t>
  </si>
  <si>
    <t>508034</t>
  </si>
  <si>
    <t>Mamposteria de bloque e=15cm.</t>
  </si>
  <si>
    <t>514301</t>
  </si>
  <si>
    <t>Punto de agua fria PVC-R 1/2" empotrado</t>
  </si>
  <si>
    <t>514314</t>
  </si>
  <si>
    <t>Tubería de agua potable PVC-r de 1/2"</t>
  </si>
  <si>
    <t>Tubería de agua potable PVC-r de 1"</t>
  </si>
  <si>
    <t>514303</t>
  </si>
  <si>
    <t>Punto de desague en P.V.C  D=50 mm</t>
  </si>
  <si>
    <t>515268</t>
  </si>
  <si>
    <t>Punto de tomacorrientes dobles (empotrados)</t>
  </si>
  <si>
    <t>515314</t>
  </si>
  <si>
    <t>Interruptor empotrado</t>
  </si>
  <si>
    <t>515295</t>
  </si>
  <si>
    <t>Cable THHn AWG -12</t>
  </si>
  <si>
    <t>Acometida domiciliaria de alcantarillado</t>
  </si>
  <si>
    <t>Limpieza final de la obra</t>
  </si>
  <si>
    <t>201002</t>
  </si>
  <si>
    <t>Estacas</t>
  </si>
  <si>
    <t>401001</t>
  </si>
  <si>
    <t>Estruc. Ocup. E2</t>
  </si>
  <si>
    <t>402001</t>
  </si>
  <si>
    <t>Estruc. Ocup. D2</t>
  </si>
  <si>
    <t>21 %</t>
  </si>
  <si>
    <t>102004</t>
  </si>
  <si>
    <t>Herramienta menor</t>
  </si>
  <si>
    <t>%MO</t>
  </si>
  <si>
    <t>2%MO</t>
  </si>
  <si>
    <t>101008</t>
  </si>
  <si>
    <t>Motoniveladora</t>
  </si>
  <si>
    <t>Hora</t>
  </si>
  <si>
    <t>101009</t>
  </si>
  <si>
    <t>Rodillo</t>
  </si>
  <si>
    <t>101013</t>
  </si>
  <si>
    <t>Tanquero</t>
  </si>
  <si>
    <t>403001</t>
  </si>
  <si>
    <t>Estruc. Ocup. B3</t>
  </si>
  <si>
    <t>404001</t>
  </si>
  <si>
    <t>Chofer profesional (Estr.Oc C1)</t>
  </si>
  <si>
    <t>405001</t>
  </si>
  <si>
    <t>Estruct. Ocup. C1 (Grupo I)</t>
  </si>
  <si>
    <t>406001</t>
  </si>
  <si>
    <t>Estruct. Ocup. C2 (Grupo II)</t>
  </si>
  <si>
    <t>407001</t>
  </si>
  <si>
    <t>Ayud. maquinaria (Est.Oc.C3)</t>
  </si>
  <si>
    <t>101021</t>
  </si>
  <si>
    <t>Retroexcavadora</t>
  </si>
  <si>
    <t>101029</t>
  </si>
  <si>
    <t>Rodillo vibratorio liso</t>
  </si>
  <si>
    <t>201252</t>
  </si>
  <si>
    <t>Lastre</t>
  </si>
  <si>
    <t>5%MO</t>
  </si>
  <si>
    <t>201003</t>
  </si>
  <si>
    <t>Cemento</t>
  </si>
  <si>
    <t>saco</t>
  </si>
  <si>
    <t>201005</t>
  </si>
  <si>
    <t>Ripio triturado</t>
  </si>
  <si>
    <t>201004</t>
  </si>
  <si>
    <t>Arena gruesa</t>
  </si>
  <si>
    <t>201013</t>
  </si>
  <si>
    <t>Arena fina</t>
  </si>
  <si>
    <t>201015</t>
  </si>
  <si>
    <t>Hierro corrugado</t>
  </si>
  <si>
    <t>kg</t>
  </si>
  <si>
    <t>201007</t>
  </si>
  <si>
    <t>Agua -</t>
  </si>
  <si>
    <t>lts</t>
  </si>
  <si>
    <t>201016</t>
  </si>
  <si>
    <t>Alambre # 18</t>
  </si>
  <si>
    <t>lbs</t>
  </si>
  <si>
    <t>201149</t>
  </si>
  <si>
    <t>Suelda</t>
  </si>
  <si>
    <t>201285</t>
  </si>
  <si>
    <t>Angulo 2"x1/8"</t>
  </si>
  <si>
    <t>ml</t>
  </si>
  <si>
    <t>201008</t>
  </si>
  <si>
    <t>Tablas</t>
  </si>
  <si>
    <t>201014</t>
  </si>
  <si>
    <t>Tiras</t>
  </si>
  <si>
    <t>201010</t>
  </si>
  <si>
    <t>Puntales</t>
  </si>
  <si>
    <t>201097</t>
  </si>
  <si>
    <t>Polipega</t>
  </si>
  <si>
    <t>201098</t>
  </si>
  <si>
    <t>Polilimpia</t>
  </si>
  <si>
    <t>201297</t>
  </si>
  <si>
    <t>Tubo PVC 6"</t>
  </si>
  <si>
    <t>201093</t>
  </si>
  <si>
    <t>Tubo PVC 2"</t>
  </si>
  <si>
    <t>201017</t>
  </si>
  <si>
    <t>Bloques .40x.20x.15</t>
  </si>
  <si>
    <t>201024</t>
  </si>
  <si>
    <t>Andamios metalicos</t>
  </si>
  <si>
    <t>H/mod</t>
  </si>
  <si>
    <t>201090</t>
  </si>
  <si>
    <t>Teflon</t>
  </si>
  <si>
    <t>201091</t>
  </si>
  <si>
    <t>Llave de paso</t>
  </si>
  <si>
    <t>200177</t>
  </si>
  <si>
    <t>Union universal PVC 1"</t>
  </si>
  <si>
    <t>200219</t>
  </si>
  <si>
    <t>Tubo PVC roscable 1/2"</t>
  </si>
  <si>
    <t>200220</t>
  </si>
  <si>
    <t>Piezas PVC 1/2"</t>
  </si>
  <si>
    <t>200221</t>
  </si>
  <si>
    <t>Neplos PVC 1/2"x2"</t>
  </si>
  <si>
    <t>200406</t>
  </si>
  <si>
    <t>Pasta sellante (tubo de 60g)</t>
  </si>
  <si>
    <t>200222</t>
  </si>
  <si>
    <t>Union universal PVC 1/2"</t>
  </si>
  <si>
    <t>200175</t>
  </si>
  <si>
    <t>Tubo PVC roscable de 1"</t>
  </si>
  <si>
    <t>200465</t>
  </si>
  <si>
    <t>Piezas PVC 1"</t>
  </si>
  <si>
    <t>201095</t>
  </si>
  <si>
    <t>Piezas 2" (codo) PVC</t>
  </si>
  <si>
    <t>201096</t>
  </si>
  <si>
    <t>Reduccion de 4" a 2" PVC</t>
  </si>
  <si>
    <t>200232</t>
  </si>
  <si>
    <t>Piezas 2" (sifon) PVC</t>
  </si>
  <si>
    <t>201074</t>
  </si>
  <si>
    <t>Manguera polietileno 3/4"</t>
  </si>
  <si>
    <t>201075</t>
  </si>
  <si>
    <t>Manguera polietileno 1/2"</t>
  </si>
  <si>
    <t>201079</t>
  </si>
  <si>
    <t>Cajetin rectangular</t>
  </si>
  <si>
    <t>201080</t>
  </si>
  <si>
    <t>Cajetin octogonal</t>
  </si>
  <si>
    <t>201076</t>
  </si>
  <si>
    <t>Conductor No. 10</t>
  </si>
  <si>
    <t>201077</t>
  </si>
  <si>
    <t>Conductor No. 12</t>
  </si>
  <si>
    <t>201083</t>
  </si>
  <si>
    <t>Placas electricas</t>
  </si>
  <si>
    <t>201085</t>
  </si>
  <si>
    <t>Type</t>
  </si>
  <si>
    <t>201238</t>
  </si>
  <si>
    <t>Tomacorrientes dobles</t>
  </si>
  <si>
    <t>201078</t>
  </si>
  <si>
    <t>Conductor No. 14</t>
  </si>
  <si>
    <t>201081</t>
  </si>
  <si>
    <t>Interruptores</t>
  </si>
  <si>
    <t>200228</t>
  </si>
  <si>
    <t>Cable THHN AWG - 12</t>
  </si>
  <si>
    <t>201198</t>
  </si>
  <si>
    <t>Acometida alcantarillado</t>
  </si>
  <si>
    <t>glb</t>
  </si>
  <si>
    <t>101016</t>
  </si>
  <si>
    <t>Soldadora</t>
  </si>
  <si>
    <t>200534</t>
  </si>
  <si>
    <t>Tubo H.G. cuadrado 1 1/2"x 2 mm.</t>
  </si>
  <si>
    <t>201233</t>
  </si>
  <si>
    <t>Cemento blanco</t>
  </si>
  <si>
    <t>GOBIERNO AUTÓNOMO DESCENTRALIZADO MUNICIPAL DE SAN MIGUEL DE IBARRA</t>
  </si>
  <si>
    <t>OFERENTE:</t>
  </si>
  <si>
    <t>ILUSTRE MUNICIPIO DE SAN MIGUEL DE IBARRA</t>
  </si>
  <si>
    <t>UBICACIÓN:</t>
  </si>
  <si>
    <t>FECHA:</t>
  </si>
  <si>
    <t>Nota:</t>
  </si>
  <si>
    <t>CÓDIGO</t>
  </si>
  <si>
    <t>DESCRIPCIÓN</t>
  </si>
  <si>
    <t>UNIDAD</t>
  </si>
  <si>
    <t>CANTIDAD</t>
  </si>
  <si>
    <t>APROBACIÓN</t>
  </si>
  <si>
    <t>OBSERVACIONES</t>
  </si>
  <si>
    <t>ÁREA</t>
  </si>
  <si>
    <t>No. PIEZAS</t>
  </si>
  <si>
    <t>ok</t>
  </si>
  <si>
    <t>ALTURA</t>
  </si>
  <si>
    <t>ANCHO</t>
  </si>
  <si>
    <t>LONGITUD</t>
  </si>
  <si>
    <t>8</t>
  </si>
  <si>
    <t>Carpa parasol en lona colombiana concor con estructura metálica (3.20x3.0)</t>
  </si>
  <si>
    <t>-</t>
  </si>
  <si>
    <t>Carpa parasol en lona colombiana concor con estructura metálica (3.20x3.85)</t>
  </si>
  <si>
    <t>LARGO</t>
  </si>
  <si>
    <t>NÚMERO</t>
  </si>
  <si>
    <t>VOLUMEN DE TUBERÍA</t>
  </si>
  <si>
    <t>VOLUMEN DE EXCAVACIÓN</t>
  </si>
  <si>
    <t>VOLUMEN DE RELLENO</t>
  </si>
  <si>
    <t>Locales de comida</t>
  </si>
  <si>
    <t>Locales de fruta</t>
  </si>
  <si>
    <t>Locales de frutas</t>
  </si>
  <si>
    <t>Estructura para fregaderos de un pozo</t>
  </si>
  <si>
    <t>LONGITUD PATAS</t>
  </si>
  <si>
    <t>LONGITUD TOTAL POR PIEZA</t>
  </si>
  <si>
    <t>Mampostería de locales de comida en L</t>
  </si>
  <si>
    <t>Mampostería de locales de comida en T</t>
  </si>
  <si>
    <t>Mampostería de locales de frutas en T</t>
  </si>
  <si>
    <t>Mampostería de locales de frutas en L</t>
  </si>
  <si>
    <t>Yee PVC 160x110 mm de uso sanitario</t>
  </si>
  <si>
    <t xml:space="preserve">Fregaderos de locales de comida </t>
  </si>
  <si>
    <t>Acometida de agua potable de 1"</t>
  </si>
  <si>
    <t>PERÍMETRO FREGADERO</t>
  </si>
  <si>
    <t>Área de construcción locales de comida</t>
  </si>
  <si>
    <t>Área de construcción locales de frutas</t>
  </si>
  <si>
    <t>505255</t>
  </si>
  <si>
    <t>100004</t>
  </si>
  <si>
    <t>Equipo de Topografía</t>
  </si>
  <si>
    <t>200076</t>
  </si>
  <si>
    <t>Pintura latex económica</t>
  </si>
  <si>
    <t>201176</t>
  </si>
  <si>
    <t>Clavos de acero 2"</t>
  </si>
  <si>
    <t>200098</t>
  </si>
  <si>
    <t>Mojones (ref. topografía)</t>
  </si>
  <si>
    <t>408001</t>
  </si>
  <si>
    <t>Topografo 2 (Estr. Oc. C1)</t>
  </si>
  <si>
    <t>Carpa parasol con lona colombiana concor con estructura metálica (3.20x3.85) instalada</t>
  </si>
  <si>
    <t>Carpa parasol en lona colombiana concor con estructura metálica (3.20x3.0) instalada</t>
  </si>
  <si>
    <t xml:space="preserve">MEMORIA DE CÁLCULO DE RUBROS PROYECTO: REUBICACIÓN PROVISIONAL DE LA ASOCIACION DE LOCALES DE COMIDA "SAN MIGUEL DE YAHUARCOCHA" Y LOCALES DE FRUTAS  "19 DE MARZO" </t>
  </si>
  <si>
    <t>Replanteo y nivelación del proyecto con equipo topográfico</t>
  </si>
  <si>
    <t>Llaves de agua para manguera d=1/2"</t>
  </si>
  <si>
    <t>200149</t>
  </si>
  <si>
    <t>Llave de agua para manguera d=1/2"</t>
  </si>
  <si>
    <t>513267</t>
  </si>
  <si>
    <t>ELABORÓ</t>
  </si>
  <si>
    <t>REVISÓ</t>
  </si>
  <si>
    <t>APROBÓ</t>
  </si>
  <si>
    <t>Ing. Pamela Pinto</t>
  </si>
  <si>
    <t>Yee PVC 160x110 mm</t>
  </si>
  <si>
    <t>Ing. Fredy Jaramillo</t>
  </si>
  <si>
    <t>Desbroce y limpieza del terreno (incluye desalojo)</t>
  </si>
  <si>
    <t>Cargadora frontal</t>
  </si>
  <si>
    <t>Volqueta</t>
  </si>
  <si>
    <t>101001</t>
  </si>
  <si>
    <t>Concretera</t>
  </si>
  <si>
    <t>101002</t>
  </si>
  <si>
    <t>Vibrador</t>
  </si>
  <si>
    <t>Hormigón en contrapiso f'c=180 kg/cm2</t>
  </si>
  <si>
    <t>Baños portátiles de fabricación nacional (incluyen lavamanos)</t>
  </si>
  <si>
    <t>Acometida de agua potable 1"</t>
  </si>
  <si>
    <t>global</t>
  </si>
  <si>
    <t>Pozos de revisión bajos 0-2m</t>
  </si>
  <si>
    <t>200152</t>
  </si>
  <si>
    <t>Fregadero nacional 1 pozo</t>
  </si>
  <si>
    <t>201143</t>
  </si>
  <si>
    <t>Bloques de sector</t>
  </si>
  <si>
    <t>201144</t>
  </si>
  <si>
    <t>Tapa y cerco H.F 220 lbs</t>
  </si>
  <si>
    <t>201145</t>
  </si>
  <si>
    <t>Esc. de hierro para pozos</t>
  </si>
  <si>
    <t>510121</t>
  </si>
  <si>
    <t>Zanja de tubería de uso sanitario 160mm locales de comida</t>
  </si>
  <si>
    <t>Zanja de tubería de uso sanitario 160mm locales de frutas</t>
  </si>
  <si>
    <t>Zanja de tubería de uso sanitario 110mm baterías sanitarias</t>
  </si>
  <si>
    <t>Zanja de tubería de uso sanitario 160mm baterías sanitarias</t>
  </si>
  <si>
    <t>Zanja de tubería de uso sanitario 160mm de caja de revisión baterías sanitarias a pozo</t>
  </si>
  <si>
    <t>Yee PVC 160mmx110mm locales de frutas</t>
  </si>
  <si>
    <t>Yee PVC 160mmx110mm locales de comida</t>
  </si>
  <si>
    <t>Cimientos de hormigón ciclópeo f´c=180 Kg/cm2</t>
  </si>
  <si>
    <t>201006</t>
  </si>
  <si>
    <t>Piedra bola</t>
  </si>
  <si>
    <t>Puerta de T.H.G 2" y malla #10</t>
  </si>
  <si>
    <t>201042</t>
  </si>
  <si>
    <t>Tinner</t>
  </si>
  <si>
    <t>201059</t>
  </si>
  <si>
    <t>Lija</t>
  </si>
  <si>
    <t>plieg</t>
  </si>
  <si>
    <t>201120</t>
  </si>
  <si>
    <t>Pintura esmalte</t>
  </si>
  <si>
    <t>200181</t>
  </si>
  <si>
    <t>Bisagra torneada 3/4"x5"</t>
  </si>
  <si>
    <t>201152</t>
  </si>
  <si>
    <t>Tubo H. G. 2" (poste)</t>
  </si>
  <si>
    <t>201154</t>
  </si>
  <si>
    <t>Malla galv. # 10</t>
  </si>
  <si>
    <t>201155</t>
  </si>
  <si>
    <t>Hierro d=8mm</t>
  </si>
  <si>
    <t>507287</t>
  </si>
  <si>
    <t>512139</t>
  </si>
  <si>
    <t xml:space="preserve">ANCHO </t>
  </si>
  <si>
    <t>Tuberia PVC 110 mm de uso sanitario</t>
  </si>
  <si>
    <t>515280</t>
  </si>
  <si>
    <t>Pozo de revisión bajo D=1.0m H=2.0m</t>
  </si>
  <si>
    <t>Cimientos de hormigón ciclopeo en mampostería de locales de comida y locales de fruta</t>
  </si>
  <si>
    <t>201092</t>
  </si>
  <si>
    <t>Tubo PVC 4"</t>
  </si>
  <si>
    <t>Malla de cerramiento</t>
  </si>
  <si>
    <t>Yee PVC 110x50 mm de uso sanitario</t>
  </si>
  <si>
    <t>Yee PVC 110X50 mm</t>
  </si>
  <si>
    <t>Codo PVC 110mm X 45° de uso sanitario</t>
  </si>
  <si>
    <t>Codo PVC 110 mm x 45°</t>
  </si>
  <si>
    <t>caneca</t>
  </si>
  <si>
    <t>Suministro de químico para limpieza y mantenimiento de baños portátiles de fabricación nacional</t>
  </si>
  <si>
    <t>Químico para limpieza y mantenimiento de tanque de recolección de desechos de aguas servidas</t>
  </si>
  <si>
    <t>Caneca de químico para limpieza y mantenimiento de baños portátiles de fabricación nacional</t>
  </si>
  <si>
    <t>(Operador)Estruc. Ocup. C1</t>
  </si>
  <si>
    <t>(Chofer) Estruc. Ocup. C1</t>
  </si>
  <si>
    <t>201118</t>
  </si>
  <si>
    <t>Pintura latex (Permalatex)</t>
  </si>
  <si>
    <t>gln</t>
  </si>
  <si>
    <t>201119</t>
  </si>
  <si>
    <t>Yeso</t>
  </si>
  <si>
    <t xml:space="preserve">Pintura latex paredes </t>
  </si>
  <si>
    <t>516883</t>
  </si>
  <si>
    <t>Caja de revisión baterías sanitarias</t>
  </si>
  <si>
    <t>Cajas de revisión locales de frutas</t>
  </si>
  <si>
    <t>Cajas de revisión locales de comida</t>
  </si>
  <si>
    <t>Pozo de revisión D=1.0m h=2.0m</t>
  </si>
  <si>
    <t>Tubería PVC de uso sanitario 110mm baterías sanitarias</t>
  </si>
  <si>
    <t>Tubería PVC de uso sanitario 50mm locales de comida</t>
  </si>
  <si>
    <t>Tubería PVC de uso sanitario 50mm locales de fruta</t>
  </si>
  <si>
    <t>Tubería PVC de uso sanitario 50mm baterías sanitarias</t>
  </si>
  <si>
    <t>Tubería PVC de uso sanitario 160mm locales de comida</t>
  </si>
  <si>
    <t>Tubería PVC de uso sanitario 160mm locales de frutas</t>
  </si>
  <si>
    <t>Tubería PVC de uso sanitario 160mm baterías sanitarias</t>
  </si>
  <si>
    <t>Tubería PVC de uso sanitario 160mm de caja de revisión baterías sanitarias a pozo</t>
  </si>
  <si>
    <t>Yee PVC 160mmx110mm baterías sanitarias</t>
  </si>
  <si>
    <t>Yee PVC 110mmx50mm baterías sanitiarias</t>
  </si>
  <si>
    <t>Codo PVC 110mm x45° baterías sanitarias</t>
  </si>
  <si>
    <t>Fregaderos locales de frutas</t>
  </si>
  <si>
    <t>Lavamanos baterías sanitarias</t>
  </si>
  <si>
    <t xml:space="preserve">Tanques de recolección de desechos baterías sanitarias </t>
  </si>
  <si>
    <t>Baterías sanitarias</t>
  </si>
  <si>
    <t>Fregaderos locales de comida</t>
  </si>
  <si>
    <t>Fregaderos locales de fruta</t>
  </si>
  <si>
    <t>Tanque de recolección de desechos baterías sanitarias</t>
  </si>
  <si>
    <t>Comedor de locales de comida</t>
  </si>
  <si>
    <t>Puerta de acceso peatonal localizada en cerramiento de malla</t>
  </si>
  <si>
    <t>Retiro y reutilización de malla galvanizada No.10</t>
  </si>
  <si>
    <t>Hormigón simple f´c=210 Kg/cm2 en dados</t>
  </si>
  <si>
    <t>101018</t>
  </si>
  <si>
    <t>Moladora</t>
  </si>
  <si>
    <t>101032</t>
  </si>
  <si>
    <t>Compresor de aire o soplete</t>
  </si>
  <si>
    <t>201168</t>
  </si>
  <si>
    <t>Acero estructural en perfiles</t>
  </si>
  <si>
    <t>201217</t>
  </si>
  <si>
    <t>Disco de corte de metal 9"</t>
  </si>
  <si>
    <t>201314</t>
  </si>
  <si>
    <t>Pintura sintetica</t>
  </si>
  <si>
    <t>201313</t>
  </si>
  <si>
    <t>Fondo uniprimer</t>
  </si>
  <si>
    <t>201228</t>
  </si>
  <si>
    <t>Tecle</t>
  </si>
  <si>
    <t>201319</t>
  </si>
  <si>
    <t>Pintura anticorrosiva</t>
  </si>
  <si>
    <t>200449</t>
  </si>
  <si>
    <t>Anclajes</t>
  </si>
  <si>
    <t>500261</t>
  </si>
  <si>
    <t>507297</t>
  </si>
  <si>
    <t>507291</t>
  </si>
  <si>
    <t>43</t>
  </si>
  <si>
    <t>Dado de cimentación columna de puerta peatonal</t>
  </si>
  <si>
    <t>Perfil C 100x50x3mm</t>
  </si>
  <si>
    <t>PESO (KG/M)</t>
  </si>
  <si>
    <t>Anclajes de columnas metálicas</t>
  </si>
  <si>
    <t>Acero estructural A-36 en perfiles inc. pintura sintetica y montaje</t>
  </si>
  <si>
    <t>Placas de acero 200x200x6 mm.</t>
  </si>
  <si>
    <t>Placas de anclaje 200x200x6mm. acero A-36</t>
  </si>
  <si>
    <t>Berma de separacipon entre calle adoquinada y predio en estudio</t>
  </si>
  <si>
    <t>519250</t>
  </si>
  <si>
    <t>Fregadero de 1 pozo sin faldón (poceta)</t>
  </si>
  <si>
    <t>Bermas de hormigón simple f'c=280kg/cm2; inc. encofrado y excav.</t>
  </si>
  <si>
    <t>Estruc. Ocup B3</t>
  </si>
  <si>
    <t>Ripio tritutrado</t>
  </si>
  <si>
    <t>Agua</t>
  </si>
  <si>
    <t>Aditivo acelerante</t>
  </si>
  <si>
    <t>Listones de madera 6x6</t>
  </si>
  <si>
    <t>Clavos</t>
  </si>
  <si>
    <t>201264</t>
  </si>
  <si>
    <t>201009</t>
  </si>
  <si>
    <t>201011</t>
  </si>
  <si>
    <t>Acometida de alcantarillado</t>
  </si>
  <si>
    <t>Acometida de agua potable incluye medidor</t>
  </si>
  <si>
    <t>500099M</t>
  </si>
  <si>
    <t>507280M</t>
  </si>
  <si>
    <t>514315M</t>
  </si>
  <si>
    <t>513268M</t>
  </si>
  <si>
    <t>514294M</t>
  </si>
  <si>
    <t>500004A</t>
  </si>
  <si>
    <t>500003A</t>
  </si>
  <si>
    <t>500002A</t>
  </si>
  <si>
    <t>500001A</t>
  </si>
  <si>
    <t>Tablero de distribución de 4 tacos G.E.</t>
  </si>
  <si>
    <t>515153</t>
  </si>
  <si>
    <t>Tablero medidor</t>
  </si>
  <si>
    <t>515330</t>
  </si>
  <si>
    <t>Tablero medidor energía eléctrica</t>
  </si>
  <si>
    <t>Tablero térmico GE 4 a 8 tacos</t>
  </si>
  <si>
    <t>211194</t>
  </si>
  <si>
    <t>201195</t>
  </si>
  <si>
    <t>Tacos térmicos 30A GE</t>
  </si>
  <si>
    <t>Electricista</t>
  </si>
  <si>
    <t>416005</t>
  </si>
  <si>
    <t>Estruc.Ocup. B3</t>
  </si>
  <si>
    <t>Tablero medidor eléctrico</t>
  </si>
  <si>
    <t>200511</t>
  </si>
  <si>
    <t>510157M</t>
  </si>
  <si>
    <t>514211M</t>
  </si>
  <si>
    <t>501352M</t>
  </si>
  <si>
    <t>505006M</t>
  </si>
  <si>
    <t>Área de intervención de locales</t>
  </si>
  <si>
    <t>Área total del terreno (incluye área de parqueadero, área de intervención de locales)</t>
  </si>
  <si>
    <t>Zanja de tubería de uso sanitario 110mm locales de comida</t>
  </si>
  <si>
    <t>Zanja tubería de uso sanitario 160mm desde pozo 1 a pozo de alcantarillado público</t>
  </si>
  <si>
    <t>Dados de cimentación columnas puerta peatonal</t>
  </si>
  <si>
    <t>Tubería PVC de uso sanitario 110mm locales de comida</t>
  </si>
  <si>
    <t>Tubería PVC de uso sanitario 160mm desde pozo 1 a pozo de alcantarillado público</t>
  </si>
  <si>
    <t>Del medidor a la red principal</t>
  </si>
  <si>
    <t>3 baños portátiles hombres + 3 baños portátiles mujeres</t>
  </si>
  <si>
    <t>Contrapiso locales de comida y frutas</t>
  </si>
  <si>
    <t>verificar</t>
  </si>
  <si>
    <t>Área de contrapiso locales de comida y locales de frutas</t>
  </si>
  <si>
    <t>Rampa de acceso vehicular</t>
  </si>
  <si>
    <t>Rampa de acceso peatonal</t>
  </si>
  <si>
    <t>Rasanteo y conformación de taludes a mano</t>
  </si>
  <si>
    <t>500325</t>
  </si>
  <si>
    <t>401002</t>
  </si>
  <si>
    <t>Área de implantación locales+comedor+baterías sanitarias</t>
  </si>
  <si>
    <t>501365M</t>
  </si>
  <si>
    <t>Tubo galv. cuadrado a=1 1/2"x 2 mm.</t>
  </si>
  <si>
    <t>Punto de Iluminación colgante</t>
  </si>
  <si>
    <t>500474</t>
  </si>
  <si>
    <t>Placas eléctricas</t>
  </si>
  <si>
    <t>Foco de 100 W</t>
  </si>
  <si>
    <t>201084</t>
  </si>
  <si>
    <t>Boquilla colgante</t>
  </si>
  <si>
    <t>200685</t>
  </si>
  <si>
    <t>500007M</t>
  </si>
  <si>
    <t>Amoladora</t>
  </si>
  <si>
    <t>sacos</t>
  </si>
  <si>
    <t>Arena</t>
  </si>
  <si>
    <t>.</t>
  </si>
  <si>
    <t>Estruct. Ocup. B3</t>
  </si>
  <si>
    <t>Longitud de tubería de instalaciones hidráulicas</t>
  </si>
  <si>
    <t>Picado y corchado de paredes para instalaciones eléctricas e hidráulicas</t>
  </si>
  <si>
    <t>Cable THHn AWG - 6</t>
  </si>
  <si>
    <t>200701</t>
  </si>
  <si>
    <t>Conductor No. 6</t>
  </si>
  <si>
    <t>500499</t>
  </si>
  <si>
    <t>Manguera de polietileno d=1" ref. instalaciones eléctricas</t>
  </si>
  <si>
    <t>201284</t>
  </si>
  <si>
    <t>Manguera polietileno ref.1"</t>
  </si>
  <si>
    <t>Cable THHn AWG -10</t>
  </si>
  <si>
    <t>515294</t>
  </si>
  <si>
    <t>515279</t>
  </si>
  <si>
    <t>500098</t>
  </si>
  <si>
    <t>Relleno compactado a máquina con material de excavación</t>
  </si>
  <si>
    <t>Cargadora</t>
  </si>
  <si>
    <t>Volqueta 5m3</t>
  </si>
  <si>
    <t>hora</t>
  </si>
  <si>
    <t>Ayudante de maquinaria (Est.Ocup.C3)</t>
  </si>
  <si>
    <t>Chofer profesional (Esct. Ocup. C1)</t>
  </si>
  <si>
    <t>Estruc. Ocup. C1 (Grupo I)</t>
  </si>
  <si>
    <t>Estruc. Ocup. C2 (Grupo II)</t>
  </si>
  <si>
    <t>5.0</t>
  </si>
  <si>
    <t>3.82</t>
  </si>
  <si>
    <t>3.64</t>
  </si>
  <si>
    <t>0.0050</t>
  </si>
  <si>
    <t>0.0051</t>
  </si>
  <si>
    <t>0.0052</t>
  </si>
  <si>
    <t>0.0053</t>
  </si>
  <si>
    <t>515210</t>
  </si>
  <si>
    <t>Tacos termicos 30A GE</t>
  </si>
  <si>
    <t>201230</t>
  </si>
  <si>
    <t>Tablero termico GE 6 a 12 taco</t>
  </si>
  <si>
    <t>Tablero de distribución de 4 a 8 tacos (PRINCIPAL)</t>
  </si>
  <si>
    <t>Tableros de 8 a 12 tacos (SECUNDARIOS)</t>
  </si>
  <si>
    <t>Longitud de tubería de instalaciones eléctricas (solo interruptores y tomacorrientes)</t>
  </si>
  <si>
    <t>Tubería red eléctrica principal</t>
  </si>
  <si>
    <t>Cable principal 1 tableros de distribución 1,2,3</t>
  </si>
  <si>
    <t>Cable principal 2 tablero de distribución 4</t>
  </si>
  <si>
    <t>Ing. Juan Vaca</t>
  </si>
  <si>
    <t xml:space="preserve">Plataforma F1 </t>
  </si>
  <si>
    <t>ÁREA TRANSVERSAL</t>
  </si>
  <si>
    <t>Plataforma F2</t>
  </si>
  <si>
    <t>Plataforma F3</t>
  </si>
  <si>
    <t>Plataforma F4</t>
  </si>
  <si>
    <t>Plataforma P2</t>
  </si>
  <si>
    <t>Plataforma P3</t>
  </si>
  <si>
    <t>Plataforma P4</t>
  </si>
  <si>
    <t>Plataforma P5</t>
  </si>
  <si>
    <t>Plataforma P6</t>
  </si>
  <si>
    <t>Plataforma P7</t>
  </si>
  <si>
    <t>Plataforma P8</t>
  </si>
  <si>
    <t>Plataforma P9</t>
  </si>
  <si>
    <t>Plataforma P10</t>
  </si>
  <si>
    <t>Plataforma Baterías</t>
  </si>
  <si>
    <t>Comedor P2</t>
  </si>
  <si>
    <t>Comedor P3</t>
  </si>
  <si>
    <t>Comedor P4</t>
  </si>
  <si>
    <t>Comedor P5</t>
  </si>
  <si>
    <t>Comedor P6</t>
  </si>
  <si>
    <t>Comedor P7</t>
  </si>
  <si>
    <t>Comedor P8</t>
  </si>
  <si>
    <t>Comedor P9</t>
  </si>
  <si>
    <t>Comedor P10</t>
  </si>
  <si>
    <t>Rampa Pescados</t>
  </si>
  <si>
    <t>Base</t>
  </si>
  <si>
    <t>Circuito 1</t>
  </si>
  <si>
    <t>Circuito 2</t>
  </si>
  <si>
    <t>Circuito 3</t>
  </si>
  <si>
    <t>Circuito 4</t>
  </si>
  <si>
    <t>Neutro Linea principal</t>
  </si>
  <si>
    <t>Área de comedor</t>
  </si>
  <si>
    <t>Área de baterías sanitarias</t>
  </si>
  <si>
    <t>Cajas de revisión en hormigón 60x60x80cm marco de angulo 2"</t>
  </si>
  <si>
    <t>510285M</t>
  </si>
  <si>
    <t>Cajas de revisión 0.60x0.60x0.80</t>
  </si>
  <si>
    <t>Hacia acometida</t>
  </si>
  <si>
    <t>500501</t>
  </si>
  <si>
    <t>Acometida eléctrica provisional para ejecución de obra, incl. inst. y mat.</t>
  </si>
  <si>
    <t>Acometida de energía eléctrica provisional incluye materiales e instalación</t>
  </si>
  <si>
    <t>200702</t>
  </si>
  <si>
    <t>Acometida eléct. Provisional incl. Inst. y mat.</t>
  </si>
  <si>
    <t>26/04/2017</t>
  </si>
  <si>
    <t>OK</t>
  </si>
  <si>
    <t>Taludes de rampas y plataformas</t>
  </si>
  <si>
    <t>Rampa circulación pescados</t>
  </si>
  <si>
    <t>Rampa circulación frutas</t>
  </si>
  <si>
    <t>Rampa de acceso lado de la calle</t>
  </si>
  <si>
    <t xml:space="preserve">Los rubros resaltados en azul corresponden a servicios que pueden ser provistos por el municipio a través de la Dirección de Obras Públicas por un valor total de $7817.48.
Los rubros más incidentes del presupuesto resaltados en color naranja corresponden a la adquisición de carpas y baños portátiles de fabricación nacional por un valor de $40907.68; sin embargo estas inversiones son recuperables puesto que estarían a disposición del municipio al término del reasentamiento (diciembre).
</t>
  </si>
  <si>
    <t>PRESUPUESTO REFERENCIAL</t>
  </si>
  <si>
    <r>
      <t xml:space="preserve">PROYECTO: </t>
    </r>
    <r>
      <rPr>
        <sz val="8"/>
        <rFont val="Arial"/>
        <family val="2"/>
      </rPr>
      <t xml:space="preserve">REUBICACIÓN PROVISIONAL DE LA ASOCIACION DE LOCALES DE COMIDA "SAN MIGUEL DE YAHUARCOCHA" Y LOCALES DE FRUTAS  "19 DE MARZO" </t>
    </r>
  </si>
  <si>
    <t>Plazo de ejecución:</t>
  </si>
  <si>
    <t>NOVENTA Y UN MIL SEISCIENTOS OCHENTA Y DOS MIL DÓLARES CON NOVENTA Y DOS CENTAVOS</t>
  </si>
  <si>
    <t>UN MES (TREINTA DÍAS)</t>
  </si>
  <si>
    <t>Tablero de distribución de 12 tacos G.E.</t>
  </si>
  <si>
    <t>Tuberia PVC 160 mm de uso sanitario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</si>
</sst>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0.000"/>
    <numFmt numFmtId="166" formatCode="#,##0.00000"/>
    <numFmt numFmtId="167" formatCode="#,##0.00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i/>
      <sz val="8"/>
      <name val="Arial"/>
      <family val="2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439">
    <xf numFmtId="0" fontId="0" fillId="0" borderId="0" xfId="0"/>
    <xf numFmtId="49" fontId="5" fillId="0" borderId="0" xfId="0" applyNumberFormat="1" applyFont="1" applyBorder="1" applyAlignment="1">
      <alignment horizontal="left" vertical="top"/>
    </xf>
    <xf numFmtId="49" fontId="5" fillId="0" borderId="0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right"/>
    </xf>
    <xf numFmtId="15" fontId="5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49" fontId="5" fillId="0" borderId="0" xfId="0" applyNumberFormat="1" applyFont="1" applyAlignment="1">
      <alignment horizontal="left" inden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 inden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9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49" fontId="5" fillId="0" borderId="2" xfId="0" applyNumberFormat="1" applyFont="1" applyBorder="1" applyAlignment="1">
      <alignment horizontal="left"/>
    </xf>
    <xf numFmtId="164" fontId="4" fillId="0" borderId="2" xfId="0" applyNumberFormat="1" applyFont="1" applyBorder="1" applyAlignment="1">
      <alignment horizontal="right"/>
    </xf>
    <xf numFmtId="49" fontId="4" fillId="0" borderId="2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4" fontId="5" fillId="0" borderId="4" xfId="0" applyNumberFormat="1" applyFont="1" applyBorder="1" applyAlignment="1">
      <alignment horizontal="right"/>
    </xf>
    <xf numFmtId="0" fontId="7" fillId="0" borderId="0" xfId="2"/>
    <xf numFmtId="2" fontId="8" fillId="4" borderId="2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2" fontId="8" fillId="0" borderId="0" xfId="1" applyNumberFormat="1" applyFont="1" applyFill="1" applyBorder="1" applyAlignment="1">
      <alignment horizontal="center"/>
    </xf>
    <xf numFmtId="15" fontId="5" fillId="0" borderId="0" xfId="2" applyNumberFormat="1" applyFont="1" applyBorder="1" applyAlignment="1">
      <alignment horizontal="right" vertical="top"/>
    </xf>
    <xf numFmtId="49" fontId="6" fillId="0" borderId="0" xfId="2" applyNumberFormat="1" applyFont="1" applyBorder="1" applyAlignment="1">
      <alignment horizontal="left"/>
    </xf>
    <xf numFmtId="0" fontId="7" fillId="0" borderId="0" xfId="2" applyFont="1" applyBorder="1" applyAlignment="1">
      <alignment horizontal="left"/>
    </xf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49" fontId="5" fillId="0" borderId="0" xfId="2" applyNumberFormat="1" applyFont="1" applyAlignment="1">
      <alignment horizontal="left" indent="1"/>
    </xf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4" fontId="5" fillId="0" borderId="0" xfId="2" applyNumberFormat="1" applyFont="1" applyAlignment="1">
      <alignment horizontal="right"/>
    </xf>
    <xf numFmtId="49" fontId="4" fillId="0" borderId="0" xfId="2" applyNumberFormat="1" applyFont="1" applyBorder="1" applyAlignment="1">
      <alignment horizontal="center"/>
    </xf>
    <xf numFmtId="49" fontId="4" fillId="0" borderId="0" xfId="2" applyNumberFormat="1" applyFont="1" applyBorder="1" applyAlignment="1">
      <alignment horizontal="left"/>
    </xf>
    <xf numFmtId="164" fontId="4" fillId="0" borderId="0" xfId="2" applyNumberFormat="1" applyFont="1" applyBorder="1" applyAlignment="1">
      <alignment horizontal="right"/>
    </xf>
    <xf numFmtId="4" fontId="4" fillId="0" borderId="0" xfId="2" applyNumberFormat="1" applyFont="1" applyBorder="1" applyAlignment="1">
      <alignment horizontal="right"/>
    </xf>
    <xf numFmtId="49" fontId="5" fillId="0" borderId="1" xfId="2" applyNumberFormat="1" applyFont="1" applyBorder="1" applyAlignment="1">
      <alignment horizontal="left" indent="1"/>
    </xf>
    <xf numFmtId="49" fontId="5" fillId="0" borderId="1" xfId="2" applyNumberFormat="1" applyFont="1" applyBorder="1" applyAlignment="1">
      <alignment horizontal="center"/>
    </xf>
    <xf numFmtId="164" fontId="5" fillId="0" borderId="1" xfId="2" applyNumberFormat="1" applyFont="1" applyBorder="1" applyAlignment="1">
      <alignment horizontal="right"/>
    </xf>
    <xf numFmtId="4" fontId="5" fillId="0" borderId="1" xfId="2" applyNumberFormat="1" applyFont="1" applyBorder="1" applyAlignment="1">
      <alignment horizontal="right"/>
    </xf>
    <xf numFmtId="49" fontId="5" fillId="0" borderId="2" xfId="2" applyNumberFormat="1" applyFont="1" applyBorder="1" applyAlignment="1">
      <alignment horizontal="left"/>
    </xf>
    <xf numFmtId="49" fontId="5" fillId="0" borderId="2" xfId="2" applyNumberFormat="1" applyFont="1" applyBorder="1" applyAlignment="1">
      <alignment horizontal="center"/>
    </xf>
    <xf numFmtId="164" fontId="5" fillId="0" borderId="2" xfId="2" applyNumberFormat="1" applyFont="1" applyBorder="1" applyAlignment="1">
      <alignment horizontal="right"/>
    </xf>
    <xf numFmtId="4" fontId="5" fillId="0" borderId="2" xfId="2" applyNumberFormat="1" applyFont="1" applyBorder="1" applyAlignment="1">
      <alignment horizontal="right"/>
    </xf>
    <xf numFmtId="164" fontId="4" fillId="0" borderId="2" xfId="2" applyNumberFormat="1" applyFont="1" applyBorder="1" applyAlignment="1">
      <alignment horizontal="right"/>
    </xf>
    <xf numFmtId="4" fontId="5" fillId="0" borderId="0" xfId="2" applyNumberFormat="1" applyFont="1" applyBorder="1" applyAlignment="1">
      <alignment horizontal="right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49" fontId="4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0" fontId="4" fillId="0" borderId="0" xfId="1" applyFont="1" applyFill="1" applyAlignment="1">
      <alignment horizontal="left" vertical="center" wrapText="1"/>
    </xf>
    <xf numFmtId="0" fontId="10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vertical="center" wrapText="1"/>
    </xf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0" fontId="7" fillId="0" borderId="0" xfId="2" applyFont="1" applyBorder="1" applyAlignment="1">
      <alignment horizontal="left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4" fontId="0" fillId="0" borderId="0" xfId="0" applyNumberFormat="1"/>
    <xf numFmtId="49" fontId="4" fillId="0" borderId="2" xfId="2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0" fontId="7" fillId="0" borderId="0" xfId="2" applyFont="1" applyBorder="1" applyAlignment="1">
      <alignment horizontal="left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/>
    <xf numFmtId="0" fontId="16" fillId="0" borderId="0" xfId="0" applyFont="1" applyAlignment="1">
      <alignment horizontal="left" vertical="center"/>
    </xf>
    <xf numFmtId="49" fontId="5" fillId="0" borderId="8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right"/>
    </xf>
    <xf numFmtId="4" fontId="5" fillId="0" borderId="8" xfId="0" applyNumberFormat="1" applyFont="1" applyBorder="1" applyAlignment="1">
      <alignment horizontal="right"/>
    </xf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0" fontId="7" fillId="0" borderId="0" xfId="2" applyFont="1" applyBorder="1" applyAlignment="1">
      <alignment horizontal="left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0" fontId="7" fillId="0" borderId="0" xfId="2" applyFont="1" applyBorder="1" applyAlignment="1">
      <alignment horizontal="left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left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0" fontId="7" fillId="0" borderId="0" xfId="2" applyFont="1" applyBorder="1" applyAlignment="1">
      <alignment horizontal="left"/>
    </xf>
    <xf numFmtId="49" fontId="5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0" fillId="0" borderId="0" xfId="0" applyFill="1"/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0" fontId="7" fillId="0" borderId="0" xfId="2" applyFont="1" applyBorder="1" applyAlignment="1">
      <alignment horizontal="left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0" fontId="7" fillId="0" borderId="0" xfId="2" applyFont="1" applyBorder="1" applyAlignment="1">
      <alignment horizontal="left"/>
    </xf>
    <xf numFmtId="0" fontId="7" fillId="0" borderId="0" xfId="2" applyBorder="1" applyAlignment="1">
      <alignment horizontal="left"/>
    </xf>
    <xf numFmtId="0" fontId="7" fillId="0" borderId="0" xfId="2" applyFont="1" applyBorder="1" applyAlignment="1">
      <alignment horizontal="left"/>
    </xf>
    <xf numFmtId="0" fontId="0" fillId="0" borderId="0" xfId="0" applyBorder="1" applyAlignment="1">
      <alignment horizontal="left"/>
    </xf>
    <xf numFmtId="0" fontId="12" fillId="0" borderId="0" xfId="1" applyFont="1" applyBorder="1" applyAlignment="1">
      <alignment horizontal="center"/>
    </xf>
    <xf numFmtId="49" fontId="4" fillId="0" borderId="7" xfId="2" applyNumberFormat="1" applyFont="1" applyBorder="1" applyAlignment="1">
      <alignment horizontal="center"/>
    </xf>
    <xf numFmtId="49" fontId="4" fillId="0" borderId="8" xfId="2" applyNumberFormat="1" applyFont="1" applyBorder="1" applyAlignment="1">
      <alignment horizontal="center"/>
    </xf>
    <xf numFmtId="164" fontId="4" fillId="0" borderId="8" xfId="2" applyNumberFormat="1" applyFont="1" applyBorder="1" applyAlignment="1">
      <alignment horizontal="center"/>
    </xf>
    <xf numFmtId="164" fontId="4" fillId="0" borderId="8" xfId="2" applyNumberFormat="1" applyFont="1" applyBorder="1" applyAlignment="1">
      <alignment horizontal="right"/>
    </xf>
    <xf numFmtId="0" fontId="7" fillId="0" borderId="0" xfId="2" applyAlignment="1">
      <alignment horizontal="center"/>
    </xf>
    <xf numFmtId="2" fontId="11" fillId="0" borderId="2" xfId="1" applyNumberFormat="1" applyFont="1" applyFill="1" applyBorder="1" applyAlignment="1">
      <alignment horizontal="center" wrapText="1"/>
    </xf>
    <xf numFmtId="2" fontId="11" fillId="0" borderId="0" xfId="1" applyNumberFormat="1" applyFont="1" applyFill="1" applyBorder="1" applyAlignment="1">
      <alignment horizontal="center" wrapText="1"/>
    </xf>
    <xf numFmtId="0" fontId="8" fillId="0" borderId="0" xfId="1" applyFont="1" applyFill="1" applyBorder="1" applyAlignment="1">
      <alignment horizontal="center" wrapText="1"/>
    </xf>
    <xf numFmtId="0" fontId="8" fillId="0" borderId="1" xfId="1" applyNumberFormat="1" applyFont="1" applyBorder="1" applyAlignment="1">
      <alignment horizontal="center" wrapText="1"/>
    </xf>
    <xf numFmtId="2" fontId="11" fillId="0" borderId="1" xfId="1" applyNumberFormat="1" applyFont="1" applyFill="1" applyBorder="1" applyAlignment="1">
      <alignment horizontal="center" wrapText="1"/>
    </xf>
    <xf numFmtId="0" fontId="8" fillId="0" borderId="2" xfId="1" applyFont="1" applyBorder="1" applyAlignment="1">
      <alignment horizontal="center"/>
    </xf>
    <xf numFmtId="0" fontId="12" fillId="0" borderId="2" xfId="1" applyFont="1" applyFill="1" applyBorder="1" applyAlignment="1">
      <alignment horizontal="center" wrapText="1"/>
    </xf>
    <xf numFmtId="2" fontId="12" fillId="0" borderId="2" xfId="1" applyNumberFormat="1" applyFont="1" applyFill="1" applyBorder="1" applyAlignment="1">
      <alignment horizontal="center" wrapText="1"/>
    </xf>
    <xf numFmtId="2" fontId="12" fillId="0" borderId="2" xfId="1" applyNumberFormat="1" applyFont="1" applyBorder="1" applyAlignment="1">
      <alignment horizontal="center"/>
    </xf>
    <xf numFmtId="0" fontId="12" fillId="3" borderId="2" xfId="1" applyFont="1" applyFill="1" applyBorder="1" applyAlignment="1">
      <alignment horizontal="center"/>
    </xf>
    <xf numFmtId="2" fontId="12" fillId="0" borderId="0" xfId="1" applyNumberFormat="1" applyFont="1" applyFill="1" applyBorder="1" applyAlignment="1">
      <alignment horizontal="center"/>
    </xf>
    <xf numFmtId="2" fontId="12" fillId="0" borderId="0" xfId="1" applyNumberFormat="1" applyFont="1" applyBorder="1" applyAlignment="1">
      <alignment horizontal="center"/>
    </xf>
    <xf numFmtId="2" fontId="12" fillId="0" borderId="0" xfId="1" applyNumberFormat="1" applyFont="1" applyAlignment="1">
      <alignment horizontal="center"/>
    </xf>
    <xf numFmtId="0" fontId="2" fillId="0" borderId="0" xfId="1" applyAlignment="1">
      <alignment horizontal="center"/>
    </xf>
    <xf numFmtId="2" fontId="12" fillId="4" borderId="2" xfId="1" applyNumberFormat="1" applyFont="1" applyFill="1" applyBorder="1" applyAlignment="1">
      <alignment horizontal="center"/>
    </xf>
    <xf numFmtId="0" fontId="7" fillId="0" borderId="0" xfId="2" applyFill="1" applyAlignment="1">
      <alignment horizontal="center"/>
    </xf>
    <xf numFmtId="0" fontId="8" fillId="0" borderId="2" xfId="1" applyFont="1" applyFill="1" applyBorder="1" applyAlignment="1">
      <alignment horizontal="center"/>
    </xf>
    <xf numFmtId="2" fontId="12" fillId="0" borderId="2" xfId="1" applyNumberFormat="1" applyFont="1" applyFill="1" applyBorder="1" applyAlignment="1">
      <alignment horizontal="center"/>
    </xf>
    <xf numFmtId="0" fontId="2" fillId="0" borderId="0" xfId="1" applyFill="1" applyAlignment="1">
      <alignment horizontal="center"/>
    </xf>
    <xf numFmtId="0" fontId="12" fillId="0" borderId="0" xfId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/>
    </xf>
    <xf numFmtId="165" fontId="12" fillId="0" borderId="0" xfId="1" applyNumberFormat="1" applyFont="1" applyBorder="1" applyAlignment="1">
      <alignment horizontal="center"/>
    </xf>
    <xf numFmtId="0" fontId="2" fillId="0" borderId="0" xfId="1" applyFill="1" applyBorder="1" applyAlignment="1">
      <alignment horizontal="center"/>
    </xf>
    <xf numFmtId="2" fontId="7" fillId="0" borderId="0" xfId="2" applyNumberFormat="1" applyAlignment="1">
      <alignment horizontal="center"/>
    </xf>
    <xf numFmtId="0" fontId="7" fillId="0" borderId="0" xfId="2" applyAlignment="1">
      <alignment horizontal="center" wrapText="1"/>
    </xf>
    <xf numFmtId="4" fontId="4" fillId="0" borderId="8" xfId="2" applyNumberFormat="1" applyFont="1" applyBorder="1" applyAlignment="1">
      <alignment horizontal="center"/>
    </xf>
    <xf numFmtId="4" fontId="4" fillId="0" borderId="2" xfId="2" applyNumberFormat="1" applyFont="1" applyBorder="1" applyAlignment="1">
      <alignment horizontal="center"/>
    </xf>
    <xf numFmtId="49" fontId="5" fillId="0" borderId="8" xfId="2" applyNumberFormat="1" applyFont="1" applyBorder="1" applyAlignment="1">
      <alignment horizontal="center"/>
    </xf>
    <xf numFmtId="49" fontId="5" fillId="0" borderId="8" xfId="2" applyNumberFormat="1" applyFont="1" applyBorder="1" applyAlignment="1">
      <alignment horizontal="left"/>
    </xf>
    <xf numFmtId="164" fontId="5" fillId="0" borderId="8" xfId="2" applyNumberFormat="1" applyFont="1" applyBorder="1" applyAlignment="1">
      <alignment horizontal="right"/>
    </xf>
    <xf numFmtId="4" fontId="5" fillId="0" borderId="8" xfId="2" applyNumberFormat="1" applyFont="1" applyBorder="1" applyAlignment="1">
      <alignment horizontal="right"/>
    </xf>
    <xf numFmtId="49" fontId="5" fillId="0" borderId="1" xfId="2" applyNumberFormat="1" applyFont="1" applyBorder="1" applyAlignment="1">
      <alignment horizontal="left"/>
    </xf>
    <xf numFmtId="49" fontId="4" fillId="0" borderId="1" xfId="2" applyNumberFormat="1" applyFont="1" applyBorder="1" applyAlignment="1">
      <alignment horizontal="center"/>
    </xf>
    <xf numFmtId="4" fontId="5" fillId="0" borderId="11" xfId="2" applyNumberFormat="1" applyFont="1" applyBorder="1" applyAlignment="1">
      <alignment horizontal="right"/>
    </xf>
    <xf numFmtId="49" fontId="5" fillId="0" borderId="15" xfId="2" applyNumberFormat="1" applyFont="1" applyBorder="1" applyAlignment="1">
      <alignment horizontal="center"/>
    </xf>
    <xf numFmtId="49" fontId="5" fillId="0" borderId="15" xfId="2" applyNumberFormat="1" applyFont="1" applyBorder="1" applyAlignment="1">
      <alignment horizontal="left" indent="1"/>
    </xf>
    <xf numFmtId="164" fontId="5" fillId="0" borderId="15" xfId="2" applyNumberFormat="1" applyFont="1" applyBorder="1" applyAlignment="1">
      <alignment horizontal="right"/>
    </xf>
    <xf numFmtId="4" fontId="5" fillId="0" borderId="15" xfId="2" applyNumberFormat="1" applyFont="1" applyBorder="1" applyAlignment="1">
      <alignment horizontal="right"/>
    </xf>
    <xf numFmtId="49" fontId="5" fillId="0" borderId="16" xfId="2" applyNumberFormat="1" applyFont="1" applyBorder="1" applyAlignment="1">
      <alignment horizontal="center"/>
    </xf>
    <xf numFmtId="49" fontId="5" fillId="0" borderId="16" xfId="2" applyNumberFormat="1" applyFont="1" applyBorder="1" applyAlignment="1">
      <alignment horizontal="left" indent="1"/>
    </xf>
    <xf numFmtId="164" fontId="5" fillId="0" borderId="16" xfId="2" applyNumberFormat="1" applyFont="1" applyBorder="1" applyAlignment="1">
      <alignment horizontal="right"/>
    </xf>
    <xf numFmtId="4" fontId="5" fillId="0" borderId="16" xfId="2" applyNumberFormat="1" applyFont="1" applyBorder="1" applyAlignment="1">
      <alignment horizontal="right"/>
    </xf>
    <xf numFmtId="49" fontId="5" fillId="0" borderId="15" xfId="2" applyNumberFormat="1" applyFont="1" applyBorder="1" applyAlignment="1">
      <alignment horizontal="left"/>
    </xf>
    <xf numFmtId="164" fontId="4" fillId="0" borderId="15" xfId="2" applyNumberFormat="1" applyFont="1" applyBorder="1" applyAlignment="1">
      <alignment horizontal="right"/>
    </xf>
    <xf numFmtId="49" fontId="5" fillId="0" borderId="17" xfId="2" applyNumberFormat="1" applyFont="1" applyBorder="1" applyAlignment="1">
      <alignment horizontal="center"/>
    </xf>
    <xf numFmtId="49" fontId="5" fillId="0" borderId="17" xfId="2" applyNumberFormat="1" applyFont="1" applyBorder="1" applyAlignment="1">
      <alignment horizontal="left"/>
    </xf>
    <xf numFmtId="164" fontId="5" fillId="0" borderId="17" xfId="2" applyNumberFormat="1" applyFont="1" applyBorder="1" applyAlignment="1">
      <alignment horizontal="right"/>
    </xf>
    <xf numFmtId="4" fontId="5" fillId="0" borderId="17" xfId="2" applyNumberFormat="1" applyFont="1" applyBorder="1" applyAlignment="1">
      <alignment horizontal="right"/>
    </xf>
    <xf numFmtId="164" fontId="4" fillId="0" borderId="17" xfId="2" applyNumberFormat="1" applyFont="1" applyBorder="1" applyAlignment="1">
      <alignment horizontal="right"/>
    </xf>
    <xf numFmtId="49" fontId="5" fillId="0" borderId="16" xfId="2" applyNumberFormat="1" applyFont="1" applyBorder="1" applyAlignment="1">
      <alignment horizontal="left"/>
    </xf>
    <xf numFmtId="164" fontId="4" fillId="0" borderId="16" xfId="2" applyNumberFormat="1" applyFont="1" applyBorder="1" applyAlignment="1">
      <alignment horizontal="right"/>
    </xf>
    <xf numFmtId="49" fontId="4" fillId="0" borderId="15" xfId="2" applyNumberFormat="1" applyFont="1" applyBorder="1" applyAlignment="1">
      <alignment horizontal="center"/>
    </xf>
    <xf numFmtId="49" fontId="4" fillId="0" borderId="17" xfId="2" applyNumberFormat="1" applyFont="1" applyBorder="1" applyAlignment="1">
      <alignment horizontal="center"/>
    </xf>
    <xf numFmtId="49" fontId="4" fillId="0" borderId="16" xfId="2" applyNumberFormat="1" applyFont="1" applyBorder="1" applyAlignment="1">
      <alignment horizontal="center"/>
    </xf>
    <xf numFmtId="0" fontId="7" fillId="0" borderId="0" xfId="2" applyBorder="1" applyAlignment="1"/>
    <xf numFmtId="49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9" fontId="4" fillId="0" borderId="15" xfId="0" applyNumberFormat="1" applyFont="1" applyBorder="1" applyAlignment="1">
      <alignment horizontal="center"/>
    </xf>
    <xf numFmtId="49" fontId="7" fillId="0" borderId="0" xfId="2" applyNumberFormat="1" applyFont="1" applyBorder="1" applyAlignment="1"/>
    <xf numFmtId="49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/>
    <xf numFmtId="0" fontId="0" fillId="0" borderId="0" xfId="0" applyBorder="1" applyAlignment="1"/>
    <xf numFmtId="0" fontId="7" fillId="0" borderId="0" xfId="0" applyNumberFormat="1" applyFont="1" applyBorder="1" applyAlignment="1">
      <alignment horizontal="left"/>
    </xf>
    <xf numFmtId="164" fontId="4" fillId="0" borderId="2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4" fontId="5" fillId="0" borderId="11" xfId="0" applyNumberFormat="1" applyFont="1" applyBorder="1" applyAlignment="1">
      <alignment horizontal="right"/>
    </xf>
    <xf numFmtId="49" fontId="5" fillId="0" borderId="15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left" indent="1"/>
    </xf>
    <xf numFmtId="164" fontId="5" fillId="0" borderId="15" xfId="0" applyNumberFormat="1" applyFont="1" applyBorder="1" applyAlignment="1">
      <alignment horizontal="right"/>
    </xf>
    <xf numFmtId="4" fontId="5" fillId="0" borderId="15" xfId="0" applyNumberFormat="1" applyFont="1" applyBorder="1" applyAlignment="1">
      <alignment horizontal="right"/>
    </xf>
    <xf numFmtId="49" fontId="5" fillId="0" borderId="17" xfId="0" applyNumberFormat="1" applyFont="1" applyBorder="1" applyAlignment="1">
      <alignment horizontal="center"/>
    </xf>
    <xf numFmtId="49" fontId="5" fillId="0" borderId="17" xfId="0" applyNumberFormat="1" applyFont="1" applyBorder="1" applyAlignment="1">
      <alignment horizontal="left" indent="1"/>
    </xf>
    <xf numFmtId="164" fontId="5" fillId="0" borderId="17" xfId="0" applyNumberFormat="1" applyFont="1" applyBorder="1" applyAlignment="1">
      <alignment horizontal="right"/>
    </xf>
    <xf numFmtId="4" fontId="5" fillId="0" borderId="17" xfId="0" applyNumberFormat="1" applyFont="1" applyBorder="1" applyAlignment="1">
      <alignment horizontal="right"/>
    </xf>
    <xf numFmtId="49" fontId="5" fillId="0" borderId="16" xfId="0" applyNumberFormat="1" applyFont="1" applyBorder="1" applyAlignment="1">
      <alignment horizontal="center"/>
    </xf>
    <xf numFmtId="49" fontId="5" fillId="0" borderId="16" xfId="0" applyNumberFormat="1" applyFont="1" applyBorder="1" applyAlignment="1">
      <alignment horizontal="left" indent="1"/>
    </xf>
    <xf numFmtId="164" fontId="5" fillId="0" borderId="16" xfId="0" applyNumberFormat="1" applyFont="1" applyBorder="1" applyAlignment="1">
      <alignment horizontal="right"/>
    </xf>
    <xf numFmtId="4" fontId="5" fillId="0" borderId="16" xfId="0" applyNumberFormat="1" applyFont="1" applyBorder="1" applyAlignment="1">
      <alignment horizontal="right"/>
    </xf>
    <xf numFmtId="49" fontId="5" fillId="0" borderId="15" xfId="0" applyNumberFormat="1" applyFont="1" applyBorder="1" applyAlignment="1">
      <alignment horizontal="left"/>
    </xf>
    <xf numFmtId="49" fontId="5" fillId="0" borderId="17" xfId="0" applyNumberFormat="1" applyFont="1" applyBorder="1" applyAlignment="1">
      <alignment horizontal="left"/>
    </xf>
    <xf numFmtId="49" fontId="4" fillId="0" borderId="17" xfId="0" applyNumberFormat="1" applyFont="1" applyBorder="1" applyAlignment="1">
      <alignment horizontal="center"/>
    </xf>
    <xf numFmtId="49" fontId="5" fillId="0" borderId="16" xfId="0" applyNumberFormat="1" applyFont="1" applyBorder="1" applyAlignment="1">
      <alignment horizontal="left"/>
    </xf>
    <xf numFmtId="49" fontId="4" fillId="0" borderId="16" xfId="0" applyNumberFormat="1" applyFont="1" applyBorder="1" applyAlignment="1">
      <alignment horizontal="center"/>
    </xf>
    <xf numFmtId="4" fontId="5" fillId="0" borderId="17" xfId="0" applyNumberFormat="1" applyFont="1" applyFill="1" applyBorder="1" applyAlignment="1">
      <alignment horizontal="right" vertical="center"/>
    </xf>
    <xf numFmtId="49" fontId="5" fillId="0" borderId="17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>
      <alignment horizontal="right" vertical="center"/>
    </xf>
    <xf numFmtId="0" fontId="5" fillId="0" borderId="21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/>
    </xf>
    <xf numFmtId="49" fontId="5" fillId="0" borderId="17" xfId="0" applyNumberFormat="1" applyFont="1" applyFill="1" applyBorder="1" applyAlignment="1">
      <alignment horizontal="left" vertical="center" wrapText="1"/>
    </xf>
    <xf numFmtId="0" fontId="5" fillId="0" borderId="17" xfId="0" applyNumberFormat="1" applyFont="1" applyFill="1" applyBorder="1" applyAlignment="1">
      <alignment horizontal="center" vertical="center"/>
    </xf>
    <xf numFmtId="49" fontId="5" fillId="0" borderId="17" xfId="0" applyNumberFormat="1" applyFont="1" applyFill="1" applyBorder="1" applyAlignment="1">
      <alignment horizontal="left" vertical="center"/>
    </xf>
    <xf numFmtId="4" fontId="5" fillId="0" borderId="16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>
      <alignment horizontal="left" vertical="center"/>
    </xf>
    <xf numFmtId="164" fontId="4" fillId="0" borderId="15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164" fontId="4" fillId="0" borderId="2" xfId="2" applyNumberFormat="1" applyFont="1" applyBorder="1" applyAlignment="1">
      <alignment horizontal="center"/>
    </xf>
    <xf numFmtId="164" fontId="4" fillId="0" borderId="1" xfId="2" applyNumberFormat="1" applyFont="1" applyBorder="1" applyAlignment="1">
      <alignment horizontal="right"/>
    </xf>
    <xf numFmtId="49" fontId="4" fillId="0" borderId="18" xfId="0" applyNumberFormat="1" applyFont="1" applyBorder="1" applyAlignment="1">
      <alignment horizontal="center"/>
    </xf>
    <xf numFmtId="49" fontId="4" fillId="0" borderId="19" xfId="0" applyNumberFormat="1" applyFont="1" applyBorder="1" applyAlignment="1">
      <alignment horizontal="left"/>
    </xf>
    <xf numFmtId="49" fontId="4" fillId="0" borderId="19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5" fillId="0" borderId="17" xfId="2" applyNumberFormat="1" applyFont="1" applyBorder="1" applyAlignment="1">
      <alignment horizontal="left" indent="1"/>
    </xf>
    <xf numFmtId="49" fontId="5" fillId="0" borderId="8" xfId="0" applyNumberFormat="1" applyFont="1" applyBorder="1" applyAlignment="1">
      <alignment horizontal="left"/>
    </xf>
    <xf numFmtId="164" fontId="4" fillId="0" borderId="8" xfId="0" applyNumberFormat="1" applyFont="1" applyBorder="1" applyAlignment="1">
      <alignment horizontal="right"/>
    </xf>
    <xf numFmtId="49" fontId="5" fillId="0" borderId="16" xfId="0" applyNumberFormat="1" applyFont="1" applyBorder="1" applyAlignment="1">
      <alignment horizontal="left" wrapText="1"/>
    </xf>
    <xf numFmtId="49" fontId="5" fillId="0" borderId="1" xfId="2" applyNumberFormat="1" applyFont="1" applyBorder="1" applyAlignment="1">
      <alignment horizontal="left" wrapText="1"/>
    </xf>
    <xf numFmtId="166" fontId="5" fillId="0" borderId="17" xfId="0" applyNumberFormat="1" applyFont="1" applyBorder="1" applyAlignment="1">
      <alignment horizontal="right"/>
    </xf>
    <xf numFmtId="166" fontId="5" fillId="0" borderId="17" xfId="2" applyNumberFormat="1" applyFont="1" applyBorder="1" applyAlignment="1">
      <alignment horizontal="right"/>
    </xf>
    <xf numFmtId="4" fontId="5" fillId="0" borderId="15" xfId="0" applyNumberFormat="1" applyFont="1" applyFill="1" applyBorder="1" applyAlignment="1">
      <alignment horizontal="right"/>
    </xf>
    <xf numFmtId="49" fontId="5" fillId="0" borderId="16" xfId="2" applyNumberFormat="1" applyFont="1" applyFill="1" applyBorder="1" applyAlignment="1">
      <alignment horizontal="center"/>
    </xf>
    <xf numFmtId="49" fontId="5" fillId="0" borderId="16" xfId="2" applyNumberFormat="1" applyFont="1" applyFill="1" applyBorder="1" applyAlignment="1">
      <alignment horizontal="left"/>
    </xf>
    <xf numFmtId="164" fontId="5" fillId="0" borderId="16" xfId="2" applyNumberFormat="1" applyFont="1" applyFill="1" applyBorder="1" applyAlignment="1">
      <alignment horizontal="right"/>
    </xf>
    <xf numFmtId="166" fontId="5" fillId="0" borderId="16" xfId="2" applyNumberFormat="1" applyFont="1" applyFill="1" applyBorder="1" applyAlignment="1">
      <alignment horizontal="right"/>
    </xf>
    <xf numFmtId="164" fontId="4" fillId="0" borderId="16" xfId="2" applyNumberFormat="1" applyFont="1" applyFill="1" applyBorder="1" applyAlignment="1">
      <alignment horizontal="right"/>
    </xf>
    <xf numFmtId="0" fontId="7" fillId="0" borderId="0" xfId="2" applyNumberFormat="1" applyFont="1" applyBorder="1" applyAlignment="1"/>
    <xf numFmtId="0" fontId="7" fillId="0" borderId="0" xfId="2" applyNumberFormat="1" applyFont="1" applyBorder="1" applyAlignment="1">
      <alignment horizontal="left"/>
    </xf>
    <xf numFmtId="0" fontId="7" fillId="0" borderId="0" xfId="0" applyNumberFormat="1" applyFont="1" applyBorder="1" applyAlignment="1"/>
    <xf numFmtId="0" fontId="7" fillId="0" borderId="0" xfId="0" applyNumberFormat="1" applyFont="1" applyFill="1" applyBorder="1" applyAlignment="1">
      <alignment horizontal="left" wrapText="1"/>
    </xf>
    <xf numFmtId="0" fontId="7" fillId="0" borderId="0" xfId="0" applyNumberFormat="1" applyFont="1" applyFill="1" applyBorder="1" applyAlignment="1">
      <alignment horizontal="left" vertical="center" wrapText="1"/>
    </xf>
    <xf numFmtId="166" fontId="5" fillId="0" borderId="16" xfId="2" applyNumberFormat="1" applyFont="1" applyBorder="1" applyAlignment="1">
      <alignment horizontal="right"/>
    </xf>
    <xf numFmtId="2" fontId="11" fillId="0" borderId="1" xfId="1" applyNumberFormat="1" applyFont="1" applyFill="1" applyBorder="1" applyAlignment="1">
      <alignment horizontal="center" wrapText="1"/>
    </xf>
    <xf numFmtId="2" fontId="11" fillId="0" borderId="2" xfId="1" applyNumberFormat="1" applyFont="1" applyFill="1" applyBorder="1" applyAlignment="1">
      <alignment horizontal="center" wrapText="1"/>
    </xf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49" fontId="5" fillId="0" borderId="22" xfId="0" applyNumberFormat="1" applyFont="1" applyFill="1" applyBorder="1" applyAlignment="1">
      <alignment horizontal="center" vertical="center"/>
    </xf>
    <xf numFmtId="49" fontId="5" fillId="0" borderId="22" xfId="0" applyNumberFormat="1" applyFont="1" applyFill="1" applyBorder="1" applyAlignment="1">
      <alignment horizontal="left" vertical="center" wrapText="1"/>
    </xf>
    <xf numFmtId="4" fontId="5" fillId="0" borderId="22" xfId="0" applyNumberFormat="1" applyFont="1" applyFill="1" applyBorder="1" applyAlignment="1">
      <alignment horizontal="right" vertical="center"/>
    </xf>
    <xf numFmtId="0" fontId="8" fillId="0" borderId="2" xfId="1" applyNumberFormat="1" applyFont="1" applyBorder="1" applyAlignment="1">
      <alignment horizontal="center" wrapText="1"/>
    </xf>
    <xf numFmtId="0" fontId="12" fillId="0" borderId="2" xfId="1" applyNumberFormat="1" applyFont="1" applyFill="1" applyBorder="1" applyAlignment="1">
      <alignment horizontal="center" wrapText="1"/>
    </xf>
    <xf numFmtId="0" fontId="12" fillId="0" borderId="0" xfId="1" applyNumberFormat="1" applyFont="1" applyBorder="1" applyAlignment="1">
      <alignment horizontal="center" wrapText="1"/>
    </xf>
    <xf numFmtId="0" fontId="12" fillId="0" borderId="0" xfId="1" applyNumberFormat="1" applyFont="1" applyFill="1" applyBorder="1" applyAlignment="1">
      <alignment horizontal="center"/>
    </xf>
    <xf numFmtId="0" fontId="7" fillId="0" borderId="0" xfId="2" applyNumberFormat="1" applyFill="1" applyAlignment="1">
      <alignment horizontal="center"/>
    </xf>
    <xf numFmtId="0" fontId="8" fillId="0" borderId="2" xfId="1" applyNumberFormat="1" applyFont="1" applyFill="1" applyBorder="1" applyAlignment="1">
      <alignment horizontal="center" wrapText="1"/>
    </xf>
    <xf numFmtId="0" fontId="8" fillId="0" borderId="1" xfId="1" applyNumberFormat="1" applyFont="1" applyFill="1" applyBorder="1" applyAlignment="1">
      <alignment horizontal="center" wrapText="1"/>
    </xf>
    <xf numFmtId="0" fontId="12" fillId="0" borderId="0" xfId="1" applyNumberFormat="1" applyFont="1" applyFill="1" applyBorder="1" applyAlignment="1">
      <alignment horizontal="center" wrapText="1"/>
    </xf>
    <xf numFmtId="0" fontId="12" fillId="0" borderId="0" xfId="1" applyNumberFormat="1" applyFont="1" applyBorder="1" applyAlignment="1">
      <alignment horizontal="center"/>
    </xf>
    <xf numFmtId="0" fontId="7" fillId="0" borderId="0" xfId="2" applyNumberFormat="1" applyAlignment="1">
      <alignment horizontal="center"/>
    </xf>
    <xf numFmtId="0" fontId="7" fillId="0" borderId="0" xfId="2" applyFill="1" applyAlignment="1">
      <alignment horizontal="left"/>
    </xf>
    <xf numFmtId="2" fontId="12" fillId="0" borderId="0" xfId="1" applyNumberFormat="1" applyFont="1" applyFill="1" applyBorder="1" applyAlignment="1">
      <alignment horizontal="center" wrapText="1"/>
    </xf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0" fontId="12" fillId="6" borderId="2" xfId="1" applyFont="1" applyFill="1" applyBorder="1" applyAlignment="1">
      <alignment horizontal="center"/>
    </xf>
    <xf numFmtId="2" fontId="11" fillId="0" borderId="1" xfId="1" applyNumberFormat="1" applyFont="1" applyFill="1" applyBorder="1" applyAlignment="1">
      <alignment horizontal="center" wrapText="1"/>
    </xf>
    <xf numFmtId="2" fontId="11" fillId="0" borderId="2" xfId="1" applyNumberFormat="1" applyFont="1" applyFill="1" applyBorder="1" applyAlignment="1">
      <alignment horizontal="center" wrapText="1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0" fontId="0" fillId="6" borderId="0" xfId="0" applyFill="1"/>
    <xf numFmtId="2" fontId="8" fillId="0" borderId="2" xfId="1" applyNumberFormat="1" applyFont="1" applyBorder="1" applyAlignment="1">
      <alignment horizontal="center"/>
    </xf>
    <xf numFmtId="2" fontId="11" fillId="0" borderId="2" xfId="1" applyNumberFormat="1" applyFont="1" applyFill="1" applyBorder="1" applyAlignment="1">
      <alignment horizontal="center" wrapText="1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0" fontId="7" fillId="0" borderId="0" xfId="2" applyNumberFormat="1" applyFont="1" applyBorder="1" applyAlignment="1">
      <alignment horizontal="left"/>
    </xf>
    <xf numFmtId="0" fontId="7" fillId="0" borderId="0" xfId="2" applyNumberFormat="1" applyBorder="1" applyAlignment="1">
      <alignment horizontal="left"/>
    </xf>
    <xf numFmtId="0" fontId="6" fillId="0" borderId="0" xfId="2" applyNumberFormat="1" applyFont="1" applyBorder="1" applyAlignment="1">
      <alignment horizontal="left"/>
    </xf>
    <xf numFmtId="2" fontId="11" fillId="0" borderId="1" xfId="1" applyNumberFormat="1" applyFont="1" applyFill="1" applyBorder="1" applyAlignment="1">
      <alignment horizontal="center" wrapText="1"/>
    </xf>
    <xf numFmtId="2" fontId="11" fillId="0" borderId="2" xfId="1" applyNumberFormat="1" applyFont="1" applyFill="1" applyBorder="1" applyAlignment="1">
      <alignment horizontal="center" wrapText="1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0" fontId="7" fillId="0" borderId="0" xfId="2" applyNumberFormat="1" applyFont="1" applyBorder="1" applyAlignment="1">
      <alignment horizontal="left"/>
    </xf>
    <xf numFmtId="0" fontId="7" fillId="0" borderId="0" xfId="2" applyNumberFormat="1" applyBorder="1" applyAlignment="1">
      <alignment horizontal="left"/>
    </xf>
    <xf numFmtId="49" fontId="4" fillId="0" borderId="24" xfId="2" applyNumberFormat="1" applyFont="1" applyBorder="1" applyAlignment="1">
      <alignment horizontal="center"/>
    </xf>
    <xf numFmtId="49" fontId="4" fillId="0" borderId="25" xfId="2" applyNumberFormat="1" applyFont="1" applyBorder="1" applyAlignment="1">
      <alignment horizontal="center"/>
    </xf>
    <xf numFmtId="164" fontId="4" fillId="0" borderId="25" xfId="2" applyNumberFormat="1" applyFont="1" applyBorder="1" applyAlignment="1">
      <alignment horizontal="center"/>
    </xf>
    <xf numFmtId="4" fontId="4" fillId="0" borderId="25" xfId="2" applyNumberFormat="1" applyFont="1" applyBorder="1" applyAlignment="1">
      <alignment horizontal="center"/>
    </xf>
    <xf numFmtId="4" fontId="4" fillId="0" borderId="26" xfId="2" applyNumberFormat="1" applyFont="1" applyBorder="1" applyAlignment="1">
      <alignment horizontal="center"/>
    </xf>
    <xf numFmtId="49" fontId="5" fillId="0" borderId="27" xfId="2" applyNumberFormat="1" applyFont="1" applyBorder="1" applyAlignment="1">
      <alignment horizontal="center"/>
    </xf>
    <xf numFmtId="4" fontId="5" fillId="0" borderId="28" xfId="2" applyNumberFormat="1" applyFont="1" applyBorder="1" applyAlignment="1">
      <alignment horizontal="right"/>
    </xf>
    <xf numFmtId="4" fontId="5" fillId="0" borderId="30" xfId="2" applyNumberFormat="1" applyFont="1" applyBorder="1" applyAlignment="1">
      <alignment horizontal="right"/>
    </xf>
    <xf numFmtId="164" fontId="4" fillId="0" borderId="25" xfId="2" applyNumberFormat="1" applyFont="1" applyBorder="1" applyAlignment="1">
      <alignment horizontal="right"/>
    </xf>
    <xf numFmtId="49" fontId="5" fillId="0" borderId="31" xfId="2" applyNumberFormat="1" applyFont="1" applyBorder="1" applyAlignment="1">
      <alignment horizontal="center"/>
    </xf>
    <xf numFmtId="49" fontId="5" fillId="0" borderId="32" xfId="2" applyNumberFormat="1" applyFont="1" applyBorder="1" applyAlignment="1">
      <alignment horizontal="left"/>
    </xf>
    <xf numFmtId="49" fontId="5" fillId="0" borderId="32" xfId="2" applyNumberFormat="1" applyFont="1" applyBorder="1" applyAlignment="1">
      <alignment horizontal="center"/>
    </xf>
    <xf numFmtId="164" fontId="5" fillId="0" borderId="32" xfId="2" applyNumberFormat="1" applyFont="1" applyBorder="1" applyAlignment="1">
      <alignment horizontal="right"/>
    </xf>
    <xf numFmtId="4" fontId="5" fillId="0" borderId="32" xfId="2" applyNumberFormat="1" applyFont="1" applyBorder="1" applyAlignment="1">
      <alignment horizontal="right"/>
    </xf>
    <xf numFmtId="164" fontId="4" fillId="0" borderId="32" xfId="2" applyNumberFormat="1" applyFont="1" applyBorder="1" applyAlignment="1">
      <alignment horizontal="right"/>
    </xf>
    <xf numFmtId="4" fontId="5" fillId="0" borderId="33" xfId="2" applyNumberFormat="1" applyFont="1" applyBorder="1" applyAlignment="1">
      <alignment horizontal="right"/>
    </xf>
    <xf numFmtId="49" fontId="4" fillId="0" borderId="26" xfId="2" applyNumberFormat="1" applyFont="1" applyBorder="1" applyAlignment="1">
      <alignment horizontal="center"/>
    </xf>
    <xf numFmtId="49" fontId="5" fillId="0" borderId="34" xfId="2" applyNumberFormat="1" applyFont="1" applyBorder="1" applyAlignment="1">
      <alignment horizontal="center"/>
    </xf>
    <xf numFmtId="4" fontId="5" fillId="0" borderId="35" xfId="2" applyNumberFormat="1" applyFont="1" applyBorder="1" applyAlignment="1">
      <alignment horizontal="right"/>
    </xf>
    <xf numFmtId="49" fontId="4" fillId="0" borderId="32" xfId="2" applyNumberFormat="1" applyFont="1" applyBorder="1" applyAlignment="1">
      <alignment horizontal="center"/>
    </xf>
    <xf numFmtId="4" fontId="5" fillId="0" borderId="4" xfId="2" applyNumberFormat="1" applyFont="1" applyBorder="1" applyAlignment="1">
      <alignment horizontal="right"/>
    </xf>
    <xf numFmtId="49" fontId="5" fillId="0" borderId="2" xfId="2" applyNumberFormat="1" applyFont="1" applyBorder="1" applyAlignment="1">
      <alignment horizontal="left" indent="1"/>
    </xf>
    <xf numFmtId="0" fontId="5" fillId="0" borderId="0" xfId="2" applyNumberFormat="1" applyFont="1" applyAlignment="1">
      <alignment horizontal="left" indent="1"/>
    </xf>
    <xf numFmtId="0" fontId="5" fillId="0" borderId="0" xfId="2" applyNumberFormat="1" applyFont="1" applyAlignment="1">
      <alignment horizontal="left"/>
    </xf>
    <xf numFmtId="0" fontId="5" fillId="0" borderId="0" xfId="2" applyNumberFormat="1" applyFont="1" applyAlignment="1">
      <alignment horizontal="center"/>
    </xf>
    <xf numFmtId="0" fontId="5" fillId="0" borderId="0" xfId="2" applyNumberFormat="1" applyFont="1" applyAlignment="1">
      <alignment horizontal="right"/>
    </xf>
    <xf numFmtId="167" fontId="5" fillId="0" borderId="1" xfId="2" applyNumberFormat="1" applyFont="1" applyBorder="1" applyAlignment="1">
      <alignment horizontal="right"/>
    </xf>
    <xf numFmtId="4" fontId="0" fillId="0" borderId="0" xfId="0" applyNumberFormat="1" applyFill="1"/>
    <xf numFmtId="49" fontId="5" fillId="0" borderId="15" xfId="0" applyNumberFormat="1" applyFont="1" applyBorder="1" applyAlignment="1">
      <alignment horizontal="left" wrapText="1"/>
    </xf>
    <xf numFmtId="0" fontId="5" fillId="7" borderId="17" xfId="0" applyFont="1" applyFill="1" applyBorder="1" applyAlignment="1">
      <alignment horizontal="center" vertical="center"/>
    </xf>
    <xf numFmtId="49" fontId="5" fillId="7" borderId="17" xfId="0" applyNumberFormat="1" applyFont="1" applyFill="1" applyBorder="1" applyAlignment="1">
      <alignment horizontal="center" vertical="center"/>
    </xf>
    <xf numFmtId="49" fontId="5" fillId="7" borderId="17" xfId="0" applyNumberFormat="1" applyFont="1" applyFill="1" applyBorder="1" applyAlignment="1">
      <alignment horizontal="left" vertical="center" wrapText="1"/>
    </xf>
    <xf numFmtId="4" fontId="5" fillId="7" borderId="17" xfId="0" applyNumberFormat="1" applyFont="1" applyFill="1" applyBorder="1" applyAlignment="1">
      <alignment horizontal="right" vertical="center"/>
    </xf>
    <xf numFmtId="0" fontId="5" fillId="7" borderId="17" xfId="0" applyNumberFormat="1" applyFont="1" applyFill="1" applyBorder="1" applyAlignment="1">
      <alignment horizontal="center" vertical="center"/>
    </xf>
    <xf numFmtId="0" fontId="5" fillId="8" borderId="17" xfId="0" applyNumberFormat="1" applyFont="1" applyFill="1" applyBorder="1" applyAlignment="1">
      <alignment horizontal="center" vertical="center"/>
    </xf>
    <xf numFmtId="49" fontId="5" fillId="8" borderId="17" xfId="0" applyNumberFormat="1" applyFont="1" applyFill="1" applyBorder="1" applyAlignment="1">
      <alignment horizontal="center" vertical="center"/>
    </xf>
    <xf numFmtId="49" fontId="5" fillId="8" borderId="17" xfId="0" applyNumberFormat="1" applyFont="1" applyFill="1" applyBorder="1" applyAlignment="1">
      <alignment horizontal="left" vertical="center" wrapText="1"/>
    </xf>
    <xf numFmtId="4" fontId="5" fillId="8" borderId="17" xfId="0" applyNumberFormat="1" applyFont="1" applyFill="1" applyBorder="1" applyAlignment="1">
      <alignment horizontal="right" vertical="center"/>
    </xf>
    <xf numFmtId="0" fontId="5" fillId="8" borderId="17" xfId="0" applyFont="1" applyFill="1" applyBorder="1" applyAlignment="1">
      <alignment horizontal="center" vertical="center"/>
    </xf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2" fontId="12" fillId="0" borderId="0" xfId="1" applyNumberFormat="1" applyFont="1" applyFill="1" applyAlignment="1">
      <alignment horizontal="center"/>
    </xf>
    <xf numFmtId="49" fontId="5" fillId="0" borderId="0" xfId="0" applyNumberFormat="1" applyFont="1" applyFill="1" applyBorder="1" applyAlignment="1">
      <alignment vertical="top"/>
    </xf>
    <xf numFmtId="9" fontId="5" fillId="0" borderId="2" xfId="0" applyNumberFormat="1" applyFont="1" applyBorder="1" applyAlignment="1">
      <alignment horizontal="left"/>
    </xf>
    <xf numFmtId="4" fontId="5" fillId="0" borderId="11" xfId="0" applyNumberFormat="1" applyFont="1" applyFill="1" applyBorder="1" applyAlignment="1">
      <alignment horizontal="right"/>
    </xf>
    <xf numFmtId="4" fontId="5" fillId="5" borderId="11" xfId="0" applyNumberFormat="1" applyFont="1" applyFill="1" applyBorder="1" applyAlignment="1">
      <alignment horizontal="right"/>
    </xf>
    <xf numFmtId="0" fontId="5" fillId="0" borderId="22" xfId="0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wrapText="1"/>
    </xf>
    <xf numFmtId="2" fontId="11" fillId="0" borderId="2" xfId="1" applyNumberFormat="1" applyFont="1" applyFill="1" applyBorder="1" applyAlignment="1">
      <alignment horizontal="center" wrapText="1"/>
    </xf>
    <xf numFmtId="0" fontId="12" fillId="0" borderId="2" xfId="1" applyFont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8" fillId="2" borderId="2" xfId="1" applyFont="1" applyFill="1" applyBorder="1" applyAlignment="1">
      <alignment horizontal="center" wrapText="1"/>
    </xf>
    <xf numFmtId="0" fontId="12" fillId="0" borderId="2" xfId="1" applyNumberFormat="1" applyFont="1" applyBorder="1" applyAlignment="1">
      <alignment horizontal="center" wrapText="1"/>
    </xf>
    <xf numFmtId="0" fontId="16" fillId="0" borderId="0" xfId="0" applyFont="1" applyAlignment="1">
      <alignment horizontal="left" vertical="center" wrapText="1"/>
    </xf>
    <xf numFmtId="0" fontId="15" fillId="0" borderId="13" xfId="0" applyFont="1" applyBorder="1" applyAlignment="1">
      <alignment horizontal="left" vertical="center"/>
    </xf>
    <xf numFmtId="0" fontId="5" fillId="0" borderId="0" xfId="1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top"/>
    </xf>
    <xf numFmtId="49" fontId="5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1" applyFont="1" applyFill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9" xfId="2" applyNumberFormat="1" applyFont="1" applyBorder="1" applyAlignment="1">
      <alignment horizontal="right"/>
    </xf>
    <xf numFmtId="49" fontId="4" fillId="0" borderId="10" xfId="2" applyNumberFormat="1" applyFont="1" applyBorder="1" applyAlignment="1">
      <alignment horizontal="right"/>
    </xf>
    <xf numFmtId="49" fontId="5" fillId="0" borderId="2" xfId="2" applyNumberFormat="1" applyFont="1" applyBorder="1" applyAlignment="1">
      <alignment horizontal="right"/>
    </xf>
    <xf numFmtId="49" fontId="4" fillId="0" borderId="2" xfId="2" applyNumberFormat="1" applyFont="1" applyBorder="1" applyAlignment="1">
      <alignment horizontal="right"/>
    </xf>
    <xf numFmtId="49" fontId="4" fillId="0" borderId="12" xfId="2" applyNumberFormat="1" applyFont="1" applyBorder="1" applyAlignment="1">
      <alignment horizontal="center"/>
    </xf>
    <xf numFmtId="49" fontId="4" fillId="0" borderId="13" xfId="2" applyNumberFormat="1" applyFont="1" applyBorder="1" applyAlignment="1">
      <alignment horizontal="center"/>
    </xf>
    <xf numFmtId="49" fontId="4" fillId="0" borderId="14" xfId="2" applyNumberFormat="1" applyFont="1" applyBorder="1" applyAlignment="1">
      <alignment horizontal="center"/>
    </xf>
    <xf numFmtId="49" fontId="5" fillId="0" borderId="0" xfId="2" applyNumberFormat="1" applyFont="1" applyBorder="1" applyAlignment="1">
      <alignment horizontal="right"/>
    </xf>
    <xf numFmtId="49" fontId="4" fillId="0" borderId="0" xfId="2" applyNumberFormat="1" applyFont="1" applyBorder="1" applyAlignment="1">
      <alignment horizontal="right"/>
    </xf>
    <xf numFmtId="49" fontId="4" fillId="0" borderId="9" xfId="2" applyNumberFormat="1" applyFont="1" applyBorder="1" applyAlignment="1">
      <alignment horizontal="center"/>
    </xf>
    <xf numFmtId="49" fontId="4" fillId="0" borderId="10" xfId="2" applyNumberFormat="1" applyFont="1" applyBorder="1" applyAlignment="1">
      <alignment horizontal="center"/>
    </xf>
    <xf numFmtId="49" fontId="4" fillId="0" borderId="11" xfId="2" applyNumberFormat="1" applyFont="1" applyBorder="1" applyAlignment="1">
      <alignment horizontal="center"/>
    </xf>
    <xf numFmtId="49" fontId="3" fillId="0" borderId="0" xfId="2" applyNumberFormat="1" applyFont="1" applyBorder="1" applyAlignment="1">
      <alignment horizontal="center" vertical="center"/>
    </xf>
    <xf numFmtId="0" fontId="7" fillId="0" borderId="0" xfId="2" applyBorder="1" applyAlignment="1">
      <alignment horizontal="left"/>
    </xf>
    <xf numFmtId="49" fontId="7" fillId="0" borderId="0" xfId="2" applyNumberFormat="1" applyBorder="1" applyAlignment="1">
      <alignment horizontal="left"/>
    </xf>
    <xf numFmtId="49" fontId="4" fillId="0" borderId="9" xfId="0" applyNumberFormat="1" applyFont="1" applyBorder="1" applyAlignment="1">
      <alignment horizontal="right"/>
    </xf>
    <xf numFmtId="49" fontId="4" fillId="0" borderId="10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4" fillId="0" borderId="12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4" fillId="0" borderId="9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0" fillId="0" borderId="0" xfId="0" applyNumberFormat="1" applyBorder="1" applyAlignment="1">
      <alignment horizontal="left"/>
    </xf>
    <xf numFmtId="49" fontId="4" fillId="0" borderId="11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left"/>
    </xf>
    <xf numFmtId="49" fontId="5" fillId="0" borderId="2" xfId="2" applyNumberFormat="1" applyFont="1" applyFill="1" applyBorder="1" applyAlignment="1">
      <alignment horizontal="right"/>
    </xf>
    <xf numFmtId="49" fontId="5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0" fontId="7" fillId="0" borderId="0" xfId="2" applyNumberFormat="1" applyFont="1" applyBorder="1" applyAlignment="1">
      <alignment horizontal="left"/>
    </xf>
    <xf numFmtId="0" fontId="7" fillId="0" borderId="0" xfId="2" applyNumberFormat="1" applyBorder="1" applyAlignment="1">
      <alignment horizontal="left"/>
    </xf>
    <xf numFmtId="49" fontId="4" fillId="0" borderId="5" xfId="0" applyNumberFormat="1" applyFont="1" applyBorder="1" applyAlignment="1">
      <alignment horizontal="right"/>
    </xf>
    <xf numFmtId="49" fontId="4" fillId="0" borderId="6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4" fillId="0" borderId="2" xfId="0" applyNumberFormat="1" applyFont="1" applyBorder="1" applyAlignment="1">
      <alignment horizontal="right"/>
    </xf>
    <xf numFmtId="49" fontId="4" fillId="0" borderId="5" xfId="2" applyNumberFormat="1" applyFont="1" applyBorder="1" applyAlignment="1">
      <alignment horizontal="right"/>
    </xf>
    <xf numFmtId="49" fontId="4" fillId="0" borderId="6" xfId="2" applyNumberFormat="1" applyFont="1" applyBorder="1" applyAlignment="1">
      <alignment horizontal="right"/>
    </xf>
    <xf numFmtId="49" fontId="5" fillId="0" borderId="24" xfId="2" applyNumberFormat="1" applyFont="1" applyBorder="1" applyAlignment="1">
      <alignment horizontal="right"/>
    </xf>
    <xf numFmtId="49" fontId="4" fillId="0" borderId="25" xfId="2" applyNumberFormat="1" applyFont="1" applyBorder="1" applyAlignment="1">
      <alignment horizontal="right"/>
    </xf>
    <xf numFmtId="49" fontId="4" fillId="0" borderId="5" xfId="2" applyNumberFormat="1" applyFont="1" applyBorder="1" applyAlignment="1">
      <alignment horizontal="center"/>
    </xf>
    <xf numFmtId="49" fontId="4" fillId="0" borderId="6" xfId="2" applyNumberFormat="1" applyFont="1" applyBorder="1" applyAlignment="1">
      <alignment horizontal="center"/>
    </xf>
    <xf numFmtId="49" fontId="4" fillId="0" borderId="4" xfId="2" applyNumberFormat="1" applyFont="1" applyBorder="1" applyAlignment="1">
      <alignment horizontal="center"/>
    </xf>
    <xf numFmtId="49" fontId="5" fillId="0" borderId="29" xfId="2" applyNumberFormat="1" applyFont="1" applyBorder="1" applyAlignment="1">
      <alignment horizontal="right"/>
    </xf>
    <xf numFmtId="49" fontId="5" fillId="0" borderId="23" xfId="2" applyNumberFormat="1" applyFont="1" applyBorder="1" applyAlignment="1">
      <alignment horizontal="right"/>
    </xf>
    <xf numFmtId="49" fontId="5" fillId="0" borderId="3" xfId="2" applyNumberFormat="1" applyFont="1" applyBorder="1" applyAlignment="1">
      <alignment horizontal="right"/>
    </xf>
    <xf numFmtId="49" fontId="4" fillId="0" borderId="3" xfId="2" applyNumberFormat="1" applyFont="1" applyBorder="1" applyAlignment="1">
      <alignment horizontal="right"/>
    </xf>
    <xf numFmtId="49" fontId="7" fillId="0" borderId="0" xfId="2" applyNumberFormat="1" applyFont="1" applyBorder="1" applyAlignment="1">
      <alignment horizontal="left"/>
    </xf>
    <xf numFmtId="49" fontId="7" fillId="0" borderId="0" xfId="2" applyNumberFormat="1" applyFont="1" applyBorder="1" applyAlignment="1">
      <alignment horizontal="left" wrapText="1"/>
    </xf>
    <xf numFmtId="0" fontId="7" fillId="0" borderId="0" xfId="2" applyNumberFormat="1" applyBorder="1" applyAlignment="1">
      <alignment horizontal="left" wrapText="1"/>
    </xf>
    <xf numFmtId="0" fontId="7" fillId="0" borderId="0" xfId="2" applyFont="1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106680</xdr:rowOff>
    </xdr:from>
    <xdr:to>
      <xdr:col>0</xdr:col>
      <xdr:colOff>746760</xdr:colOff>
      <xdr:row>4</xdr:row>
      <xdr:rowOff>94711</xdr:rowOff>
    </xdr:to>
    <xdr:pic>
      <xdr:nvPicPr>
        <xdr:cNvPr id="6" name="3 Imagen" descr="C:\Users\Usuario\Documents\GAD IBARRA\IMAGEN INSTITUCIONAL Y DIALOGO SOCIAL 2014\ARTES\JULIO\Encabezado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2224"/>
        <a:stretch/>
      </xdr:blipFill>
      <xdr:spPr bwMode="auto">
        <a:xfrm>
          <a:off x="60960" y="106680"/>
          <a:ext cx="685800" cy="838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121920</xdr:colOff>
      <xdr:row>0</xdr:row>
      <xdr:rowOff>45720</xdr:rowOff>
    </xdr:from>
    <xdr:to>
      <xdr:col>8</xdr:col>
      <xdr:colOff>655319</xdr:colOff>
      <xdr:row>4</xdr:row>
      <xdr:rowOff>71851</xdr:rowOff>
    </xdr:to>
    <xdr:pic>
      <xdr:nvPicPr>
        <xdr:cNvPr id="7" name="4 Imagen" descr="C:\Users\Usuario\Documents\GAD IBARRA\IMAGEN INSTITUCIONAL Y DIALOGO SOCIAL 2014\ARTES\JULIO\Encabezado1.jpg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782"/>
        <a:stretch/>
      </xdr:blipFill>
      <xdr:spPr bwMode="auto">
        <a:xfrm>
          <a:off x="6949440" y="45720"/>
          <a:ext cx="533399" cy="876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34"/>
  <sheetViews>
    <sheetView zoomScale="102" zoomScaleNormal="102" workbookViewId="0">
      <selection activeCell="G47" sqref="G47"/>
    </sheetView>
  </sheetViews>
  <sheetFormatPr baseColWidth="10" defaultColWidth="11.5546875" defaultRowHeight="13.2" x14ac:dyDescent="0.25"/>
  <cols>
    <col min="1" max="1" width="25.6640625" style="278" customWidth="1"/>
    <col min="2" max="8" width="11.6640625" style="132" customWidth="1"/>
    <col min="9" max="16384" width="11.5546875" style="132"/>
  </cols>
  <sheetData>
    <row r="1" spans="1:14" ht="31.95" customHeight="1" x14ac:dyDescent="0.3">
      <c r="A1" s="357" t="s">
        <v>264</v>
      </c>
      <c r="B1" s="357"/>
      <c r="C1" s="357"/>
      <c r="D1" s="357"/>
      <c r="E1" s="357"/>
      <c r="F1" s="357"/>
      <c r="G1" s="357"/>
      <c r="H1" s="357"/>
    </row>
    <row r="2" spans="1:14" ht="13.8" x14ac:dyDescent="0.3">
      <c r="A2" s="269" t="s">
        <v>214</v>
      </c>
      <c r="B2" s="354" t="s">
        <v>215</v>
      </c>
      <c r="C2" s="354"/>
      <c r="D2" s="354"/>
      <c r="E2" s="133" t="s">
        <v>216</v>
      </c>
      <c r="F2" s="134"/>
      <c r="G2" s="135"/>
      <c r="H2" s="135"/>
    </row>
    <row r="3" spans="1:14" ht="13.8" x14ac:dyDescent="0.3">
      <c r="A3" s="136">
        <f>Presupuesto!B8</f>
        <v>1</v>
      </c>
      <c r="B3" s="353" t="str">
        <f>Presupuesto!D8</f>
        <v>Replanteo y nivelación del proyecto con equipo topográfico</v>
      </c>
      <c r="C3" s="353"/>
      <c r="D3" s="353"/>
      <c r="E3" s="137" t="str">
        <f>Presupuesto!E8</f>
        <v>m2</v>
      </c>
      <c r="F3" s="354" t="s">
        <v>217</v>
      </c>
      <c r="G3" s="354"/>
      <c r="H3" s="138" t="s">
        <v>218</v>
      </c>
    </row>
    <row r="4" spans="1:14" ht="13.8" x14ac:dyDescent="0.3">
      <c r="A4" s="270" t="s">
        <v>219</v>
      </c>
      <c r="B4" s="139"/>
      <c r="C4" s="139"/>
      <c r="D4" s="139" t="s">
        <v>220</v>
      </c>
      <c r="E4" s="140" t="s">
        <v>7</v>
      </c>
      <c r="F4" s="140" t="s">
        <v>221</v>
      </c>
      <c r="G4" s="141" t="s">
        <v>9</v>
      </c>
      <c r="H4" s="142" t="s">
        <v>222</v>
      </c>
    </row>
    <row r="5" spans="1:14" ht="14.4" x14ac:dyDescent="0.3">
      <c r="A5" s="271" t="s">
        <v>447</v>
      </c>
      <c r="B5" s="127"/>
      <c r="C5" s="127"/>
      <c r="D5" s="143">
        <v>515.73609999999996</v>
      </c>
      <c r="E5" s="144">
        <f>D5</f>
        <v>515.73609999999996</v>
      </c>
      <c r="F5" s="144">
        <v>1</v>
      </c>
      <c r="G5" s="145">
        <f>E5*F5</f>
        <v>515.73609999999996</v>
      </c>
      <c r="H5" s="146"/>
    </row>
    <row r="6" spans="1:14" ht="14.4" x14ac:dyDescent="0.3">
      <c r="A6" s="271" t="s">
        <v>550</v>
      </c>
      <c r="B6" s="127"/>
      <c r="C6" s="127"/>
      <c r="D6" s="143">
        <v>450.464</v>
      </c>
      <c r="E6" s="144">
        <f>D6</f>
        <v>450.464</v>
      </c>
      <c r="F6" s="144">
        <v>1</v>
      </c>
      <c r="G6" s="145">
        <f>E6*F6</f>
        <v>450.464</v>
      </c>
      <c r="H6" s="146"/>
    </row>
    <row r="7" spans="1:14" ht="14.4" x14ac:dyDescent="0.3">
      <c r="A7" s="271" t="s">
        <v>551</v>
      </c>
      <c r="B7" s="127"/>
      <c r="C7" s="127"/>
      <c r="D7" s="143">
        <v>8.5670000000000002</v>
      </c>
      <c r="E7" s="144">
        <f>D7</f>
        <v>8.5670000000000002</v>
      </c>
      <c r="F7" s="144">
        <v>1</v>
      </c>
      <c r="G7" s="145">
        <f>E7*F7</f>
        <v>8.5670000000000002</v>
      </c>
      <c r="H7" s="146"/>
    </row>
    <row r="8" spans="1:14" ht="14.4" x14ac:dyDescent="0.3">
      <c r="A8" s="355"/>
      <c r="B8" s="355"/>
      <c r="C8" s="355"/>
      <c r="D8" s="355"/>
      <c r="E8" s="355"/>
      <c r="F8" s="33" t="s">
        <v>9</v>
      </c>
      <c r="G8" s="147">
        <f>SUM(G5:G7)</f>
        <v>974.76710000000003</v>
      </c>
      <c r="H8" s="146"/>
    </row>
    <row r="9" spans="1:14" ht="14.4" x14ac:dyDescent="0.3">
      <c r="A9" s="272"/>
      <c r="B9" s="34"/>
      <c r="C9" s="34"/>
      <c r="D9" s="34"/>
      <c r="E9" s="34"/>
      <c r="F9" s="35"/>
      <c r="G9" s="143"/>
      <c r="H9" s="146"/>
    </row>
    <row r="10" spans="1:14" ht="13.8" x14ac:dyDescent="0.3">
      <c r="A10" s="269" t="s">
        <v>214</v>
      </c>
      <c r="B10" s="354" t="s">
        <v>215</v>
      </c>
      <c r="C10" s="354"/>
      <c r="D10" s="354"/>
      <c r="E10" s="133" t="s">
        <v>216</v>
      </c>
      <c r="F10" s="134"/>
      <c r="G10" s="135"/>
      <c r="H10" s="135"/>
    </row>
    <row r="11" spans="1:14" ht="25.2" customHeight="1" x14ac:dyDescent="0.3">
      <c r="A11" s="136">
        <f>Presupuesto!B9</f>
        <v>2</v>
      </c>
      <c r="B11" s="353" t="str">
        <f>Presupuesto!D9</f>
        <v>Desbroce y limpieza del terreno (incluye desalojo)</v>
      </c>
      <c r="C11" s="353"/>
      <c r="D11" s="353"/>
      <c r="E11" s="137" t="str">
        <f>Presupuesto!E9</f>
        <v>m2</v>
      </c>
      <c r="F11" s="354" t="s">
        <v>217</v>
      </c>
      <c r="G11" s="354"/>
      <c r="H11" s="138" t="s">
        <v>218</v>
      </c>
    </row>
    <row r="12" spans="1:14" ht="13.8" x14ac:dyDescent="0.3">
      <c r="A12" s="270" t="s">
        <v>219</v>
      </c>
      <c r="B12" s="139"/>
      <c r="C12" s="139"/>
      <c r="D12" s="139" t="s">
        <v>220</v>
      </c>
      <c r="E12" s="140" t="s">
        <v>7</v>
      </c>
      <c r="F12" s="140" t="s">
        <v>221</v>
      </c>
      <c r="G12" s="141" t="s">
        <v>9</v>
      </c>
      <c r="H12" s="142" t="s">
        <v>222</v>
      </c>
      <c r="I12" s="148"/>
    </row>
    <row r="13" spans="1:14" ht="41.4" x14ac:dyDescent="0.3">
      <c r="A13" s="271" t="s">
        <v>448</v>
      </c>
      <c r="B13" s="127"/>
      <c r="C13" s="143"/>
      <c r="D13" s="143">
        <v>8482.5450000000001</v>
      </c>
      <c r="E13" s="144">
        <f>D13</f>
        <v>8482.5450000000001</v>
      </c>
      <c r="F13" s="144">
        <v>1</v>
      </c>
      <c r="G13" s="145">
        <f>E13*F13</f>
        <v>8482.5450000000001</v>
      </c>
      <c r="H13" s="146"/>
      <c r="I13" s="279"/>
      <c r="J13" s="153"/>
      <c r="K13" s="148"/>
      <c r="L13" s="148"/>
      <c r="M13" s="148"/>
      <c r="N13" s="148"/>
    </row>
    <row r="14" spans="1:14" ht="14.4" x14ac:dyDescent="0.3">
      <c r="A14" s="355"/>
      <c r="B14" s="355"/>
      <c r="C14" s="355"/>
      <c r="D14" s="355"/>
      <c r="E14" s="355"/>
      <c r="F14" s="33" t="s">
        <v>9</v>
      </c>
      <c r="G14" s="147">
        <f>G13</f>
        <v>8482.5450000000001</v>
      </c>
      <c r="H14" s="146"/>
    </row>
    <row r="15" spans="1:14" ht="14.4" x14ac:dyDescent="0.3">
      <c r="A15" s="272"/>
      <c r="B15" s="34"/>
      <c r="C15" s="34"/>
      <c r="D15" s="34"/>
      <c r="E15" s="34"/>
      <c r="F15" s="35"/>
      <c r="G15" s="143"/>
      <c r="H15" s="146"/>
    </row>
    <row r="17" spans="1:14" ht="13.8" x14ac:dyDescent="0.3">
      <c r="A17" s="269" t="s">
        <v>214</v>
      </c>
      <c r="B17" s="354" t="s">
        <v>215</v>
      </c>
      <c r="C17" s="354"/>
      <c r="D17" s="354"/>
      <c r="E17" s="133" t="s">
        <v>216</v>
      </c>
      <c r="F17" s="134"/>
      <c r="G17" s="135"/>
      <c r="H17" s="135"/>
    </row>
    <row r="18" spans="1:14" ht="13.8" x14ac:dyDescent="0.3">
      <c r="A18" s="136">
        <f>Presupuesto!B10</f>
        <v>3</v>
      </c>
      <c r="B18" s="353" t="str">
        <f>Presupuesto!D10</f>
        <v>Conformación compactación de subrasante</v>
      </c>
      <c r="C18" s="353"/>
      <c r="D18" s="353"/>
      <c r="E18" s="137" t="str">
        <f>Presupuesto!E10</f>
        <v>m2</v>
      </c>
      <c r="F18" s="354" t="s">
        <v>217</v>
      </c>
      <c r="G18" s="354"/>
      <c r="H18" s="138" t="s">
        <v>218</v>
      </c>
    </row>
    <row r="19" spans="1:14" ht="13.8" x14ac:dyDescent="0.3">
      <c r="A19" s="270" t="s">
        <v>219</v>
      </c>
      <c r="B19" s="139"/>
      <c r="C19" s="139"/>
      <c r="D19" s="139" t="s">
        <v>220</v>
      </c>
      <c r="E19" s="140" t="s">
        <v>7</v>
      </c>
      <c r="F19" s="140" t="s">
        <v>221</v>
      </c>
      <c r="G19" s="141" t="s">
        <v>9</v>
      </c>
      <c r="H19" s="142" t="s">
        <v>562</v>
      </c>
    </row>
    <row r="20" spans="1:14" ht="41.4" x14ac:dyDescent="0.3">
      <c r="A20" s="271" t="s">
        <v>464</v>
      </c>
      <c r="B20" s="127"/>
      <c r="C20" s="127"/>
      <c r="D20" s="143">
        <v>2353.2069999999999</v>
      </c>
      <c r="E20" s="144">
        <f>D20</f>
        <v>2353.2069999999999</v>
      </c>
      <c r="F20" s="144">
        <v>1</v>
      </c>
      <c r="G20" s="145">
        <f>E20*F20</f>
        <v>2353.2069999999999</v>
      </c>
      <c r="H20" s="146"/>
      <c r="I20" s="279"/>
      <c r="J20" s="153"/>
      <c r="K20" s="148"/>
      <c r="L20" s="148"/>
      <c r="M20" s="148"/>
      <c r="N20" s="148"/>
    </row>
    <row r="21" spans="1:14" ht="14.4" x14ac:dyDescent="0.3">
      <c r="A21" s="271" t="s">
        <v>459</v>
      </c>
      <c r="B21" s="127"/>
      <c r="C21" s="127"/>
      <c r="D21" s="143">
        <v>68.97</v>
      </c>
      <c r="E21" s="144">
        <f>D21</f>
        <v>68.97</v>
      </c>
      <c r="F21" s="144">
        <v>1</v>
      </c>
      <c r="G21" s="145">
        <f>E21*F21</f>
        <v>68.97</v>
      </c>
      <c r="H21" s="146"/>
      <c r="I21" s="279"/>
      <c r="J21" s="153"/>
      <c r="K21" s="148"/>
      <c r="L21" s="148"/>
      <c r="M21" s="148"/>
      <c r="N21" s="148"/>
    </row>
    <row r="22" spans="1:14" ht="14.4" x14ac:dyDescent="0.3">
      <c r="A22" s="271" t="s">
        <v>460</v>
      </c>
      <c r="B22" s="127"/>
      <c r="C22" s="127"/>
      <c r="D22" s="143">
        <v>30.23</v>
      </c>
      <c r="E22" s="144">
        <f>D22</f>
        <v>30.23</v>
      </c>
      <c r="F22" s="144">
        <v>1</v>
      </c>
      <c r="G22" s="145">
        <f>E22*F22</f>
        <v>30.23</v>
      </c>
      <c r="H22" s="146"/>
      <c r="I22" s="279"/>
      <c r="J22" s="153"/>
      <c r="K22" s="148"/>
      <c r="L22" s="148"/>
      <c r="M22" s="148"/>
      <c r="N22" s="148"/>
    </row>
    <row r="23" spans="1:14" ht="14.4" x14ac:dyDescent="0.3">
      <c r="A23" s="355"/>
      <c r="B23" s="355"/>
      <c r="C23" s="355"/>
      <c r="D23" s="355"/>
      <c r="E23" s="355"/>
      <c r="F23" s="33" t="s">
        <v>9</v>
      </c>
      <c r="G23" s="147">
        <f>SUM(G20:G22)</f>
        <v>2452.4069999999997</v>
      </c>
      <c r="H23" s="146"/>
    </row>
    <row r="24" spans="1:14" x14ac:dyDescent="0.25">
      <c r="A24" s="273"/>
      <c r="B24" s="148"/>
      <c r="C24" s="148"/>
      <c r="D24" s="148"/>
      <c r="E24" s="148"/>
      <c r="F24" s="148"/>
      <c r="G24" s="148"/>
      <c r="H24" s="148"/>
      <c r="I24" s="148"/>
    </row>
    <row r="25" spans="1:14" ht="13.8" x14ac:dyDescent="0.3">
      <c r="A25" s="274" t="s">
        <v>214</v>
      </c>
      <c r="B25" s="354" t="s">
        <v>215</v>
      </c>
      <c r="C25" s="354"/>
      <c r="D25" s="354"/>
      <c r="E25" s="133" t="s">
        <v>216</v>
      </c>
      <c r="F25" s="134"/>
      <c r="G25" s="135"/>
      <c r="H25" s="135"/>
      <c r="I25" s="148"/>
    </row>
    <row r="26" spans="1:14" ht="13.8" x14ac:dyDescent="0.3">
      <c r="A26" s="275">
        <f>Presupuesto!B11</f>
        <v>4</v>
      </c>
      <c r="B26" s="353" t="str">
        <f>Presupuesto!D11</f>
        <v>Excavación sin clasificar</v>
      </c>
      <c r="C26" s="353"/>
      <c r="D26" s="353"/>
      <c r="E26" s="137" t="str">
        <f>Presupuesto!E11</f>
        <v>m3</v>
      </c>
      <c r="F26" s="354" t="s">
        <v>217</v>
      </c>
      <c r="G26" s="354"/>
      <c r="H26" s="149" t="s">
        <v>218</v>
      </c>
      <c r="I26" s="148"/>
    </row>
    <row r="27" spans="1:14" ht="41.4" x14ac:dyDescent="0.3">
      <c r="A27" s="270" t="s">
        <v>219</v>
      </c>
      <c r="B27" s="139"/>
      <c r="C27" s="139" t="s">
        <v>520</v>
      </c>
      <c r="D27" s="139" t="s">
        <v>225</v>
      </c>
      <c r="E27" s="140" t="s">
        <v>7</v>
      </c>
      <c r="F27" s="140" t="s">
        <v>221</v>
      </c>
      <c r="G27" s="150" t="s">
        <v>9</v>
      </c>
      <c r="H27" s="283" t="s">
        <v>457</v>
      </c>
      <c r="I27" s="148"/>
    </row>
    <row r="28" spans="1:14" ht="14.4" x14ac:dyDescent="0.3">
      <c r="A28" s="271" t="s">
        <v>519</v>
      </c>
      <c r="B28" s="127"/>
      <c r="C28" s="143">
        <v>1.7457</v>
      </c>
      <c r="D28" s="143">
        <v>5.4</v>
      </c>
      <c r="E28" s="144">
        <f>C28*D28</f>
        <v>9.4267800000000008</v>
      </c>
      <c r="F28" s="144">
        <v>1</v>
      </c>
      <c r="G28" s="145">
        <f>E28*F28</f>
        <v>9.4267800000000008</v>
      </c>
      <c r="H28" s="151"/>
      <c r="I28" s="148"/>
    </row>
    <row r="29" spans="1:14" ht="14.4" x14ac:dyDescent="0.3">
      <c r="A29" s="271" t="s">
        <v>521</v>
      </c>
      <c r="B29" s="127"/>
      <c r="C29" s="143">
        <f>1.3502+0.5817+1.6892</f>
        <v>3.6211000000000002</v>
      </c>
      <c r="D29" s="143">
        <v>5.4</v>
      </c>
      <c r="E29" s="144">
        <f t="shared" ref="E29:E40" si="0">C29*D29</f>
        <v>19.553940000000001</v>
      </c>
      <c r="F29" s="144">
        <v>1</v>
      </c>
      <c r="G29" s="145">
        <f t="shared" ref="G29:G41" si="1">E29*F29</f>
        <v>19.553940000000001</v>
      </c>
      <c r="H29" s="151"/>
      <c r="I29" s="148"/>
    </row>
    <row r="30" spans="1:14" ht="14.4" x14ac:dyDescent="0.3">
      <c r="A30" s="271" t="s">
        <v>522</v>
      </c>
      <c r="B30" s="127"/>
      <c r="C30" s="143">
        <v>1.8614999999999999</v>
      </c>
      <c r="D30" s="143">
        <v>5.4</v>
      </c>
      <c r="E30" s="144">
        <f t="shared" si="0"/>
        <v>10.052100000000001</v>
      </c>
      <c r="F30" s="144">
        <v>1</v>
      </c>
      <c r="G30" s="145">
        <f t="shared" si="1"/>
        <v>10.052100000000001</v>
      </c>
      <c r="H30" s="151"/>
      <c r="I30" s="148"/>
    </row>
    <row r="31" spans="1:14" ht="14.4" x14ac:dyDescent="0.3">
      <c r="A31" s="271" t="s">
        <v>523</v>
      </c>
      <c r="B31" s="127"/>
      <c r="C31" s="143">
        <f>57.7581</f>
        <v>57.758099999999999</v>
      </c>
      <c r="D31" s="143">
        <v>0.1583</v>
      </c>
      <c r="E31" s="144">
        <f t="shared" si="0"/>
        <v>9.14310723</v>
      </c>
      <c r="F31" s="144">
        <v>1</v>
      </c>
      <c r="G31" s="145">
        <f t="shared" si="1"/>
        <v>9.14310723</v>
      </c>
      <c r="H31" s="151"/>
      <c r="I31" s="148"/>
    </row>
    <row r="32" spans="1:14" ht="14.4" x14ac:dyDescent="0.3">
      <c r="A32" s="271" t="s">
        <v>524</v>
      </c>
      <c r="B32" s="127"/>
      <c r="C32" s="143">
        <v>2.3020999999999998</v>
      </c>
      <c r="D32" s="143">
        <v>5.4</v>
      </c>
      <c r="E32" s="144">
        <f t="shared" si="0"/>
        <v>12.431340000000001</v>
      </c>
      <c r="F32" s="144">
        <v>1</v>
      </c>
      <c r="G32" s="145">
        <f t="shared" si="1"/>
        <v>12.431340000000001</v>
      </c>
      <c r="H32" s="151"/>
      <c r="I32" s="148"/>
    </row>
    <row r="33" spans="1:9" ht="14.4" x14ac:dyDescent="0.3">
      <c r="A33" s="271" t="s">
        <v>525</v>
      </c>
      <c r="B33" s="127"/>
      <c r="C33" s="143">
        <v>1.5159</v>
      </c>
      <c r="D33" s="143">
        <v>5.4</v>
      </c>
      <c r="E33" s="144">
        <f t="shared" si="0"/>
        <v>8.1858599999999999</v>
      </c>
      <c r="F33" s="144">
        <v>1</v>
      </c>
      <c r="G33" s="145">
        <f t="shared" si="1"/>
        <v>8.1858599999999999</v>
      </c>
      <c r="H33" s="151"/>
      <c r="I33" s="148"/>
    </row>
    <row r="34" spans="1:9" ht="14.4" x14ac:dyDescent="0.3">
      <c r="A34" s="271" t="s">
        <v>526</v>
      </c>
      <c r="B34" s="127"/>
      <c r="C34" s="143">
        <v>0.90939999999999999</v>
      </c>
      <c r="D34" s="143">
        <v>5.4</v>
      </c>
      <c r="E34" s="144">
        <f t="shared" si="0"/>
        <v>4.9107600000000007</v>
      </c>
      <c r="F34" s="144">
        <v>1</v>
      </c>
      <c r="G34" s="145">
        <f t="shared" si="1"/>
        <v>4.9107600000000007</v>
      </c>
      <c r="H34" s="151"/>
      <c r="I34" s="148"/>
    </row>
    <row r="35" spans="1:9" ht="14.4" x14ac:dyDescent="0.3">
      <c r="A35" s="271" t="s">
        <v>527</v>
      </c>
      <c r="B35" s="127"/>
      <c r="C35" s="143">
        <v>1.4428000000000001</v>
      </c>
      <c r="D35" s="143">
        <v>5.4</v>
      </c>
      <c r="E35" s="144">
        <f t="shared" si="0"/>
        <v>7.7911200000000012</v>
      </c>
      <c r="F35" s="144">
        <v>1</v>
      </c>
      <c r="G35" s="145">
        <f t="shared" si="1"/>
        <v>7.7911200000000012</v>
      </c>
      <c r="H35" s="151"/>
      <c r="I35" s="148"/>
    </row>
    <row r="36" spans="1:9" ht="14.4" x14ac:dyDescent="0.3">
      <c r="A36" s="271" t="s">
        <v>528</v>
      </c>
      <c r="B36" s="127"/>
      <c r="C36" s="143">
        <v>0.64939999999999998</v>
      </c>
      <c r="D36" s="143">
        <v>5.4</v>
      </c>
      <c r="E36" s="144">
        <f t="shared" si="0"/>
        <v>3.5067600000000003</v>
      </c>
      <c r="F36" s="144">
        <v>1</v>
      </c>
      <c r="G36" s="145">
        <f t="shared" si="1"/>
        <v>3.5067600000000003</v>
      </c>
      <c r="H36" s="151"/>
      <c r="I36" s="148"/>
    </row>
    <row r="37" spans="1:9" ht="14.4" x14ac:dyDescent="0.3">
      <c r="A37" s="271" t="s">
        <v>529</v>
      </c>
      <c r="B37" s="127"/>
      <c r="C37" s="143">
        <v>0.87719999999999998</v>
      </c>
      <c r="D37" s="143">
        <v>5.4</v>
      </c>
      <c r="E37" s="144">
        <f t="shared" si="0"/>
        <v>4.7368800000000002</v>
      </c>
      <c r="F37" s="144">
        <v>1</v>
      </c>
      <c r="G37" s="145">
        <f t="shared" si="1"/>
        <v>4.7368800000000002</v>
      </c>
      <c r="H37" s="151"/>
      <c r="I37" s="148"/>
    </row>
    <row r="38" spans="1:9" ht="14.4" x14ac:dyDescent="0.3">
      <c r="A38" s="271" t="s">
        <v>530</v>
      </c>
      <c r="B38" s="127"/>
      <c r="C38" s="143">
        <v>1.3669</v>
      </c>
      <c r="D38" s="143">
        <v>5.4</v>
      </c>
      <c r="E38" s="144">
        <f t="shared" si="0"/>
        <v>7.3812600000000002</v>
      </c>
      <c r="F38" s="144">
        <v>1</v>
      </c>
      <c r="G38" s="145">
        <f t="shared" si="1"/>
        <v>7.3812600000000002</v>
      </c>
      <c r="H38" s="151"/>
      <c r="I38" s="148"/>
    </row>
    <row r="39" spans="1:9" ht="14.4" x14ac:dyDescent="0.3">
      <c r="A39" s="271" t="s">
        <v>531</v>
      </c>
      <c r="B39" s="127"/>
      <c r="C39" s="143">
        <v>0.34429999999999999</v>
      </c>
      <c r="D39" s="143">
        <v>5.4</v>
      </c>
      <c r="E39" s="144">
        <f t="shared" si="0"/>
        <v>1.8592200000000001</v>
      </c>
      <c r="F39" s="144">
        <v>1</v>
      </c>
      <c r="G39" s="145">
        <f t="shared" si="1"/>
        <v>1.8592200000000001</v>
      </c>
      <c r="H39" s="151"/>
      <c r="I39" s="148"/>
    </row>
    <row r="40" spans="1:9" ht="14.4" x14ac:dyDescent="0.3">
      <c r="A40" s="271" t="s">
        <v>532</v>
      </c>
      <c r="B40" s="127"/>
      <c r="C40" s="143">
        <v>3.0074000000000001</v>
      </c>
      <c r="D40" s="143">
        <v>5.4</v>
      </c>
      <c r="E40" s="144">
        <f t="shared" si="0"/>
        <v>16.23996</v>
      </c>
      <c r="F40" s="144">
        <v>1</v>
      </c>
      <c r="G40" s="145">
        <f t="shared" si="1"/>
        <v>16.23996</v>
      </c>
      <c r="H40" s="151"/>
      <c r="I40" s="148"/>
    </row>
    <row r="41" spans="1:9" ht="14.4" x14ac:dyDescent="0.3">
      <c r="A41" s="276" t="s">
        <v>533</v>
      </c>
      <c r="B41" s="34"/>
      <c r="C41" s="143">
        <v>8.5670000000000002</v>
      </c>
      <c r="D41" s="143">
        <v>0.05</v>
      </c>
      <c r="E41" s="144">
        <f>C41*D41</f>
        <v>0.42835000000000001</v>
      </c>
      <c r="F41" s="144">
        <v>1</v>
      </c>
      <c r="G41" s="145">
        <f t="shared" si="1"/>
        <v>0.42835000000000001</v>
      </c>
      <c r="H41" s="151"/>
      <c r="I41" s="148"/>
    </row>
    <row r="42" spans="1:9" ht="14.4" x14ac:dyDescent="0.3">
      <c r="A42" s="276" t="s">
        <v>564</v>
      </c>
      <c r="B42" s="34"/>
      <c r="C42" s="143">
        <v>4.3753000000000002</v>
      </c>
      <c r="D42" s="143">
        <v>1.8</v>
      </c>
      <c r="E42" s="144">
        <f>C42*D42</f>
        <v>7.8755400000000009</v>
      </c>
      <c r="F42" s="144">
        <v>1</v>
      </c>
      <c r="G42" s="145">
        <f>E42*F42</f>
        <v>7.8755400000000009</v>
      </c>
      <c r="H42" s="151"/>
      <c r="I42" s="148"/>
    </row>
    <row r="43" spans="1:9" ht="14.4" x14ac:dyDescent="0.3">
      <c r="A43" s="276" t="s">
        <v>565</v>
      </c>
      <c r="B43" s="34"/>
      <c r="C43" s="143">
        <v>1.7515000000000001</v>
      </c>
      <c r="D43" s="143">
        <v>1.8</v>
      </c>
      <c r="E43" s="144">
        <f>C43*D43</f>
        <v>3.1527000000000003</v>
      </c>
      <c r="F43" s="144">
        <v>1</v>
      </c>
      <c r="G43" s="145">
        <f>E43*F43</f>
        <v>3.1527000000000003</v>
      </c>
      <c r="H43" s="151"/>
      <c r="I43" s="148"/>
    </row>
    <row r="44" spans="1:9" ht="14.4" x14ac:dyDescent="0.3">
      <c r="A44" s="276" t="s">
        <v>459</v>
      </c>
      <c r="B44" s="34"/>
      <c r="C44" s="143">
        <v>12.6</v>
      </c>
      <c r="D44" s="143">
        <v>62.97</v>
      </c>
      <c r="E44" s="144">
        <f>C44+D44</f>
        <v>75.569999999999993</v>
      </c>
      <c r="F44" s="144">
        <v>1</v>
      </c>
      <c r="G44" s="145">
        <f t="shared" ref="G44:G55" si="2">E44*F44</f>
        <v>75.569999999999993</v>
      </c>
      <c r="H44" s="151"/>
      <c r="I44" s="148"/>
    </row>
    <row r="45" spans="1:9" ht="14.4" x14ac:dyDescent="0.3">
      <c r="A45" s="276" t="s">
        <v>460</v>
      </c>
      <c r="B45" s="34"/>
      <c r="C45" s="143">
        <v>7.6</v>
      </c>
      <c r="D45" s="143">
        <f>10.73</f>
        <v>10.73</v>
      </c>
      <c r="E45" s="144">
        <f>C45+D45</f>
        <v>18.329999999999998</v>
      </c>
      <c r="F45" s="144">
        <v>1</v>
      </c>
      <c r="G45" s="145">
        <f t="shared" si="2"/>
        <v>18.329999999999998</v>
      </c>
      <c r="H45" s="151"/>
      <c r="I45" s="148"/>
    </row>
    <row r="46" spans="1:9" ht="27.6" x14ac:dyDescent="0.3">
      <c r="A46" s="276" t="s">
        <v>566</v>
      </c>
      <c r="B46" s="34"/>
      <c r="C46" s="143">
        <v>2.36</v>
      </c>
      <c r="D46" s="143">
        <v>34.47</v>
      </c>
      <c r="E46" s="144">
        <f>C46*D46</f>
        <v>81.349199999999996</v>
      </c>
      <c r="F46" s="144">
        <v>1</v>
      </c>
      <c r="G46" s="145">
        <f>E46*F46</f>
        <v>81.349199999999996</v>
      </c>
      <c r="H46" s="151"/>
      <c r="I46" s="148"/>
    </row>
    <row r="47" spans="1:9" ht="14.4" x14ac:dyDescent="0.3">
      <c r="A47" s="276" t="s">
        <v>534</v>
      </c>
      <c r="B47" s="34"/>
      <c r="C47" s="143">
        <v>0.73060000000000003</v>
      </c>
      <c r="D47" s="143">
        <v>8.3000000000000007</v>
      </c>
      <c r="E47" s="144">
        <f>C47*D47</f>
        <v>6.0639800000000008</v>
      </c>
      <c r="F47" s="144">
        <v>1</v>
      </c>
      <c r="G47" s="145">
        <f t="shared" si="2"/>
        <v>6.0639800000000008</v>
      </c>
      <c r="H47" s="151"/>
      <c r="I47" s="148"/>
    </row>
    <row r="48" spans="1:9" ht="14.4" x14ac:dyDescent="0.3">
      <c r="A48" s="276" t="s">
        <v>535</v>
      </c>
      <c r="B48" s="127"/>
      <c r="C48" s="143">
        <v>0.1847</v>
      </c>
      <c r="D48" s="143">
        <v>8.3000000000000007</v>
      </c>
      <c r="E48" s="144">
        <f t="shared" ref="E48:E55" si="3">C48*D48</f>
        <v>1.5330100000000002</v>
      </c>
      <c r="F48" s="144">
        <v>1</v>
      </c>
      <c r="G48" s="145">
        <f t="shared" si="2"/>
        <v>1.5330100000000002</v>
      </c>
      <c r="H48" s="151"/>
      <c r="I48" s="148"/>
    </row>
    <row r="49" spans="1:9" ht="14.4" x14ac:dyDescent="0.3">
      <c r="A49" s="276" t="s">
        <v>536</v>
      </c>
      <c r="B49" s="127"/>
      <c r="C49" s="143">
        <v>2.4199999999999999E-2</v>
      </c>
      <c r="D49" s="143">
        <v>8.3000000000000007</v>
      </c>
      <c r="E49" s="144">
        <f t="shared" si="3"/>
        <v>0.20086000000000001</v>
      </c>
      <c r="F49" s="144">
        <v>1</v>
      </c>
      <c r="G49" s="145">
        <f t="shared" si="2"/>
        <v>0.20086000000000001</v>
      </c>
      <c r="H49" s="151"/>
      <c r="I49" s="148"/>
    </row>
    <row r="50" spans="1:9" ht="14.4" x14ac:dyDescent="0.3">
      <c r="A50" s="276" t="s">
        <v>537</v>
      </c>
      <c r="B50" s="127"/>
      <c r="C50" s="143">
        <v>0.1109</v>
      </c>
      <c r="D50" s="143">
        <v>8.3000000000000007</v>
      </c>
      <c r="E50" s="144">
        <f t="shared" si="3"/>
        <v>0.92047000000000012</v>
      </c>
      <c r="F50" s="144">
        <v>1</v>
      </c>
      <c r="G50" s="145">
        <f t="shared" si="2"/>
        <v>0.92047000000000012</v>
      </c>
      <c r="H50" s="151"/>
      <c r="I50" s="148"/>
    </row>
    <row r="51" spans="1:9" ht="14.4" x14ac:dyDescent="0.3">
      <c r="A51" s="276" t="s">
        <v>538</v>
      </c>
      <c r="B51" s="127"/>
      <c r="C51" s="143">
        <v>9.0700000000000003E-2</v>
      </c>
      <c r="D51" s="143">
        <v>8.3000000000000007</v>
      </c>
      <c r="E51" s="144">
        <f t="shared" si="3"/>
        <v>0.75281000000000009</v>
      </c>
      <c r="F51" s="144">
        <v>1</v>
      </c>
      <c r="G51" s="145">
        <f t="shared" si="2"/>
        <v>0.75281000000000009</v>
      </c>
      <c r="H51" s="151"/>
      <c r="I51" s="148"/>
    </row>
    <row r="52" spans="1:9" ht="14.4" x14ac:dyDescent="0.3">
      <c r="A52" s="276" t="s">
        <v>539</v>
      </c>
      <c r="B52" s="127"/>
      <c r="C52" s="143">
        <v>0</v>
      </c>
      <c r="D52" s="143">
        <v>8.3000000000000007</v>
      </c>
      <c r="E52" s="144">
        <f t="shared" si="3"/>
        <v>0</v>
      </c>
      <c r="F52" s="144">
        <v>1</v>
      </c>
      <c r="G52" s="145">
        <f t="shared" si="2"/>
        <v>0</v>
      </c>
      <c r="H52" s="151"/>
      <c r="I52" s="148"/>
    </row>
    <row r="53" spans="1:9" ht="14.4" x14ac:dyDescent="0.3">
      <c r="A53" s="276" t="s">
        <v>540</v>
      </c>
      <c r="B53" s="127"/>
      <c r="C53" s="143">
        <v>8.5000000000000006E-2</v>
      </c>
      <c r="D53" s="143">
        <v>8.3000000000000007</v>
      </c>
      <c r="E53" s="144">
        <f t="shared" si="3"/>
        <v>0.70550000000000013</v>
      </c>
      <c r="F53" s="144">
        <v>1</v>
      </c>
      <c r="G53" s="145">
        <f t="shared" si="2"/>
        <v>0.70550000000000013</v>
      </c>
      <c r="H53" s="151"/>
      <c r="I53" s="148"/>
    </row>
    <row r="54" spans="1:9" ht="14.4" x14ac:dyDescent="0.3">
      <c r="A54" s="276" t="s">
        <v>541</v>
      </c>
      <c r="B54" s="127"/>
      <c r="C54" s="143">
        <v>0</v>
      </c>
      <c r="D54" s="143">
        <v>8.3000000000000007</v>
      </c>
      <c r="E54" s="144">
        <f t="shared" si="3"/>
        <v>0</v>
      </c>
      <c r="F54" s="144">
        <v>1</v>
      </c>
      <c r="G54" s="145">
        <f t="shared" si="2"/>
        <v>0</v>
      </c>
      <c r="H54" s="151"/>
      <c r="I54" s="148"/>
    </row>
    <row r="55" spans="1:9" ht="14.4" x14ac:dyDescent="0.3">
      <c r="A55" s="276" t="s">
        <v>542</v>
      </c>
      <c r="B55" s="127"/>
      <c r="C55" s="143">
        <v>1.1141000000000001</v>
      </c>
      <c r="D55" s="143">
        <v>8.3000000000000007</v>
      </c>
      <c r="E55" s="144">
        <f t="shared" si="3"/>
        <v>9.2470300000000023</v>
      </c>
      <c r="F55" s="144">
        <v>1</v>
      </c>
      <c r="G55" s="145">
        <f t="shared" si="2"/>
        <v>9.2470300000000023</v>
      </c>
      <c r="H55" s="151"/>
      <c r="I55" s="148"/>
    </row>
    <row r="56" spans="1:9" ht="14.4" x14ac:dyDescent="0.3">
      <c r="A56" s="356"/>
      <c r="B56" s="356"/>
      <c r="C56" s="356"/>
      <c r="D56" s="356"/>
      <c r="E56" s="356"/>
      <c r="F56" s="33" t="s">
        <v>9</v>
      </c>
      <c r="G56" s="147">
        <f>SUM(G28:G55)</f>
        <v>321.34853722999992</v>
      </c>
      <c r="H56" s="151"/>
      <c r="I56" s="148"/>
    </row>
    <row r="58" spans="1:9" ht="13.8" x14ac:dyDescent="0.3">
      <c r="A58" s="269" t="s">
        <v>214</v>
      </c>
      <c r="B58" s="354" t="s">
        <v>215</v>
      </c>
      <c r="C58" s="354"/>
      <c r="D58" s="354"/>
      <c r="E58" s="133" t="s">
        <v>216</v>
      </c>
      <c r="F58" s="134"/>
      <c r="G58" s="135"/>
      <c r="H58" s="135"/>
    </row>
    <row r="59" spans="1:9" ht="13.8" x14ac:dyDescent="0.3">
      <c r="A59" s="136">
        <f>Presupuesto!B12</f>
        <v>5</v>
      </c>
      <c r="B59" s="353" t="str">
        <f>Presupuesto!D12</f>
        <v>Mejoramiento de suelo con lastre inc. material</v>
      </c>
      <c r="C59" s="353"/>
      <c r="D59" s="353"/>
      <c r="E59" s="137" t="str">
        <f>Presupuesto!E12</f>
        <v>m3</v>
      </c>
      <c r="F59" s="354" t="s">
        <v>217</v>
      </c>
      <c r="G59" s="354"/>
      <c r="H59" s="138" t="s">
        <v>218</v>
      </c>
    </row>
    <row r="60" spans="1:9" ht="13.8" x14ac:dyDescent="0.3">
      <c r="A60" s="270" t="s">
        <v>219</v>
      </c>
      <c r="B60" s="139"/>
      <c r="C60" s="139" t="s">
        <v>220</v>
      </c>
      <c r="D60" s="139" t="s">
        <v>223</v>
      </c>
      <c r="E60" s="140" t="s">
        <v>7</v>
      </c>
      <c r="F60" s="140" t="s">
        <v>221</v>
      </c>
      <c r="G60" s="141" t="s">
        <v>9</v>
      </c>
      <c r="H60" s="142" t="s">
        <v>222</v>
      </c>
    </row>
    <row r="61" spans="1:9" ht="27.6" x14ac:dyDescent="0.3">
      <c r="A61" s="271" t="s">
        <v>458</v>
      </c>
      <c r="B61" s="127"/>
      <c r="C61" s="143">
        <v>515.73609999999996</v>
      </c>
      <c r="D61" s="143">
        <v>0.2</v>
      </c>
      <c r="E61" s="144">
        <f>C61*D61</f>
        <v>103.14722</v>
      </c>
      <c r="F61" s="144">
        <v>1</v>
      </c>
      <c r="G61" s="145">
        <f>E61*F61</f>
        <v>103.14722</v>
      </c>
      <c r="H61" s="146"/>
    </row>
    <row r="62" spans="1:9" ht="14.4" x14ac:dyDescent="0.3">
      <c r="A62" s="355"/>
      <c r="B62" s="355"/>
      <c r="C62" s="355"/>
      <c r="D62" s="355"/>
      <c r="E62" s="355"/>
      <c r="F62" s="33" t="s">
        <v>9</v>
      </c>
      <c r="G62" s="147">
        <f>SUM(G61:G61)</f>
        <v>103.14722</v>
      </c>
      <c r="H62" s="146"/>
    </row>
    <row r="64" spans="1:9" ht="13.8" x14ac:dyDescent="0.3">
      <c r="A64" s="269" t="s">
        <v>214</v>
      </c>
      <c r="B64" s="354" t="s">
        <v>215</v>
      </c>
      <c r="C64" s="354"/>
      <c r="D64" s="354"/>
      <c r="E64" s="133" t="s">
        <v>216</v>
      </c>
      <c r="F64" s="134"/>
      <c r="G64" s="135"/>
      <c r="H64" s="135"/>
    </row>
    <row r="65" spans="1:14" ht="13.8" x14ac:dyDescent="0.3">
      <c r="A65" s="136">
        <f>Presupuesto!B13</f>
        <v>6</v>
      </c>
      <c r="B65" s="353" t="str">
        <f>Presupuesto!D13</f>
        <v>Excavación a mano</v>
      </c>
      <c r="C65" s="353"/>
      <c r="D65" s="353"/>
      <c r="E65" s="137" t="str">
        <f>Presupuesto!E13</f>
        <v>m3</v>
      </c>
      <c r="F65" s="354" t="s">
        <v>217</v>
      </c>
      <c r="G65" s="354"/>
      <c r="H65" s="138" t="s">
        <v>218</v>
      </c>
    </row>
    <row r="66" spans="1:14" ht="13.8" x14ac:dyDescent="0.3">
      <c r="A66" s="270" t="s">
        <v>219</v>
      </c>
      <c r="B66" s="139" t="s">
        <v>225</v>
      </c>
      <c r="C66" s="139" t="s">
        <v>224</v>
      </c>
      <c r="D66" s="139" t="s">
        <v>223</v>
      </c>
      <c r="E66" s="140" t="s">
        <v>7</v>
      </c>
      <c r="F66" s="140" t="s">
        <v>221</v>
      </c>
      <c r="G66" s="141" t="s">
        <v>9</v>
      </c>
      <c r="H66" s="142" t="s">
        <v>222</v>
      </c>
    </row>
    <row r="67" spans="1:14" ht="41.4" x14ac:dyDescent="0.3">
      <c r="A67" s="276" t="s">
        <v>449</v>
      </c>
      <c r="B67" s="152">
        <v>17.96</v>
      </c>
      <c r="C67" s="152">
        <v>0.6</v>
      </c>
      <c r="D67" s="152">
        <f>0.6+0.2</f>
        <v>0.8</v>
      </c>
      <c r="E67" s="280">
        <f>B67*C67*D67</f>
        <v>8.6208000000000009</v>
      </c>
      <c r="F67" s="280">
        <v>1</v>
      </c>
      <c r="G67" s="144">
        <f>E67*F67</f>
        <v>8.6208000000000009</v>
      </c>
      <c r="H67" s="34"/>
    </row>
    <row r="68" spans="1:14" ht="41.4" x14ac:dyDescent="0.3">
      <c r="A68" s="276" t="s">
        <v>297</v>
      </c>
      <c r="B68" s="34">
        <f>22.7+20.47</f>
        <v>43.17</v>
      </c>
      <c r="C68" s="143">
        <v>0.6</v>
      </c>
      <c r="D68" s="143">
        <f>0.6+0.2</f>
        <v>0.8</v>
      </c>
      <c r="E68" s="143">
        <f t="shared" ref="E68:E73" si="4">B68*C68*D68</f>
        <v>20.721600000000002</v>
      </c>
      <c r="F68" s="143">
        <v>1</v>
      </c>
      <c r="G68" s="143">
        <f>E68*F68</f>
        <v>20.721600000000002</v>
      </c>
      <c r="H68" s="281"/>
      <c r="J68" s="153"/>
    </row>
    <row r="69" spans="1:14" ht="41.4" x14ac:dyDescent="0.3">
      <c r="A69" s="276" t="s">
        <v>298</v>
      </c>
      <c r="B69" s="34">
        <f>21.13+12.47</f>
        <v>33.6</v>
      </c>
      <c r="C69" s="143">
        <v>0.6</v>
      </c>
      <c r="D69" s="143">
        <f>0.6+0.2</f>
        <v>0.8</v>
      </c>
      <c r="E69" s="143">
        <f t="shared" si="4"/>
        <v>16.128</v>
      </c>
      <c r="F69" s="143">
        <v>1</v>
      </c>
      <c r="G69" s="143">
        <f t="shared" ref="G69:G73" si="5">E69*F69</f>
        <v>16.128</v>
      </c>
      <c r="H69" s="281"/>
      <c r="I69" s="279"/>
      <c r="J69" s="153"/>
      <c r="K69" s="148"/>
      <c r="L69" s="148"/>
      <c r="M69" s="148"/>
      <c r="N69" s="148"/>
    </row>
    <row r="70" spans="1:14" ht="41.4" x14ac:dyDescent="0.3">
      <c r="A70" s="276" t="s">
        <v>299</v>
      </c>
      <c r="B70" s="34">
        <v>2</v>
      </c>
      <c r="C70" s="143">
        <v>0.6</v>
      </c>
      <c r="D70" s="143">
        <f>0.6+0.2</f>
        <v>0.8</v>
      </c>
      <c r="E70" s="143">
        <f t="shared" si="4"/>
        <v>0.96</v>
      </c>
      <c r="F70" s="143">
        <v>3</v>
      </c>
      <c r="G70" s="143">
        <f t="shared" si="5"/>
        <v>2.88</v>
      </c>
      <c r="H70" s="281"/>
      <c r="J70" s="153"/>
    </row>
    <row r="71" spans="1:14" ht="41.4" x14ac:dyDescent="0.3">
      <c r="A71" s="276" t="s">
        <v>300</v>
      </c>
      <c r="B71" s="34">
        <v>4.8899999999999997</v>
      </c>
      <c r="C71" s="143">
        <v>0.6</v>
      </c>
      <c r="D71" s="143">
        <f t="shared" ref="D71:D74" si="6">0.6+0.2</f>
        <v>0.8</v>
      </c>
      <c r="E71" s="143">
        <f t="shared" si="4"/>
        <v>2.3472</v>
      </c>
      <c r="F71" s="143">
        <v>1</v>
      </c>
      <c r="G71" s="143">
        <f t="shared" si="5"/>
        <v>2.3472</v>
      </c>
      <c r="H71" s="281"/>
      <c r="J71" s="153"/>
    </row>
    <row r="72" spans="1:14" ht="55.2" x14ac:dyDescent="0.3">
      <c r="A72" s="276" t="s">
        <v>301</v>
      </c>
      <c r="B72" s="34">
        <v>11.38</v>
      </c>
      <c r="C72" s="143">
        <v>0.6</v>
      </c>
      <c r="D72" s="143">
        <f t="shared" si="6"/>
        <v>0.8</v>
      </c>
      <c r="E72" s="143">
        <f t="shared" si="4"/>
        <v>5.4624000000000006</v>
      </c>
      <c r="F72" s="143">
        <v>1</v>
      </c>
      <c r="G72" s="143">
        <f t="shared" si="5"/>
        <v>5.4624000000000006</v>
      </c>
      <c r="H72" s="281"/>
      <c r="J72" s="153"/>
    </row>
    <row r="73" spans="1:14" ht="41.4" x14ac:dyDescent="0.3">
      <c r="A73" s="276" t="s">
        <v>450</v>
      </c>
      <c r="B73" s="34">
        <v>7.57</v>
      </c>
      <c r="C73" s="143">
        <v>0.6</v>
      </c>
      <c r="D73" s="143">
        <f t="shared" si="6"/>
        <v>0.8</v>
      </c>
      <c r="E73" s="143">
        <f t="shared" si="4"/>
        <v>3.6335999999999999</v>
      </c>
      <c r="F73" s="143">
        <v>1</v>
      </c>
      <c r="G73" s="143">
        <f t="shared" si="5"/>
        <v>3.6335999999999999</v>
      </c>
      <c r="H73" s="281"/>
      <c r="J73" s="153"/>
    </row>
    <row r="74" spans="1:14" ht="27.6" x14ac:dyDescent="0.3">
      <c r="A74" s="276" t="s">
        <v>554</v>
      </c>
      <c r="B74" s="34">
        <v>0.6</v>
      </c>
      <c r="C74" s="143">
        <v>0.6</v>
      </c>
      <c r="D74" s="143">
        <f t="shared" si="6"/>
        <v>0.8</v>
      </c>
      <c r="E74" s="143">
        <f>B74*C74*D74</f>
        <v>0.28799999999999998</v>
      </c>
      <c r="F74" s="143">
        <v>5</v>
      </c>
      <c r="G74" s="143">
        <f>E74*F74</f>
        <v>1.44</v>
      </c>
      <c r="H74" s="281"/>
      <c r="J74" s="153"/>
    </row>
    <row r="75" spans="1:14" ht="27.6" x14ac:dyDescent="0.3">
      <c r="A75" s="276" t="s">
        <v>328</v>
      </c>
      <c r="B75" s="34">
        <v>1</v>
      </c>
      <c r="C75" s="143">
        <f>(3.1416*(B75)^2)/4</f>
        <v>0.78539999999999999</v>
      </c>
      <c r="D75" s="143">
        <v>2</v>
      </c>
      <c r="E75" s="143">
        <f>C75*D75</f>
        <v>1.5708</v>
      </c>
      <c r="F75" s="143">
        <v>1</v>
      </c>
      <c r="G75" s="143">
        <f>E75*F75</f>
        <v>1.5708</v>
      </c>
      <c r="H75" s="281"/>
      <c r="I75" s="148"/>
      <c r="J75" s="153"/>
    </row>
    <row r="76" spans="1:14" ht="55.2" x14ac:dyDescent="0.3">
      <c r="A76" s="276" t="s">
        <v>329</v>
      </c>
      <c r="B76" s="34"/>
      <c r="C76" s="143"/>
      <c r="D76" s="143"/>
      <c r="E76" s="143">
        <f>G158</f>
        <v>17.904</v>
      </c>
      <c r="F76" s="143">
        <v>1</v>
      </c>
      <c r="G76" s="143">
        <f>E76*F76</f>
        <v>17.904</v>
      </c>
      <c r="H76" s="282"/>
      <c r="I76" s="148"/>
      <c r="J76" s="153"/>
    </row>
    <row r="77" spans="1:14" ht="27.6" x14ac:dyDescent="0.3">
      <c r="A77" s="276" t="s">
        <v>451</v>
      </c>
      <c r="B77" s="34">
        <v>0.4</v>
      </c>
      <c r="C77" s="143">
        <v>0.4</v>
      </c>
      <c r="D77" s="143">
        <v>0.4</v>
      </c>
      <c r="E77" s="143">
        <f>B77*C77*D77</f>
        <v>6.4000000000000015E-2</v>
      </c>
      <c r="F77" s="143">
        <v>2</v>
      </c>
      <c r="G77" s="143">
        <f>E77*F77</f>
        <v>0.12800000000000003</v>
      </c>
      <c r="H77" s="281"/>
      <c r="I77" s="148"/>
      <c r="J77" s="153"/>
    </row>
    <row r="78" spans="1:14" ht="14.4" x14ac:dyDescent="0.3">
      <c r="A78" s="355"/>
      <c r="B78" s="355"/>
      <c r="C78" s="355"/>
      <c r="D78" s="355"/>
      <c r="E78" s="355"/>
      <c r="F78" s="33" t="s">
        <v>9</v>
      </c>
      <c r="G78" s="147">
        <f>SUM(G67:G77)</f>
        <v>80.836400000000012</v>
      </c>
      <c r="H78" s="146"/>
    </row>
    <row r="80" spans="1:14" ht="13.8" x14ac:dyDescent="0.3">
      <c r="A80" s="269" t="s">
        <v>214</v>
      </c>
      <c r="B80" s="354" t="s">
        <v>215</v>
      </c>
      <c r="C80" s="354"/>
      <c r="D80" s="354"/>
      <c r="E80" s="133" t="s">
        <v>216</v>
      </c>
      <c r="F80" s="134"/>
      <c r="G80" s="135"/>
      <c r="H80" s="135"/>
    </row>
    <row r="81" spans="1:8" ht="26.4" customHeight="1" x14ac:dyDescent="0.3">
      <c r="A81" s="136">
        <f>Presupuesto!B14</f>
        <v>7</v>
      </c>
      <c r="B81" s="353" t="str">
        <f>Presupuesto!D14</f>
        <v>Cajas de revisión en hormigón 60x60x80cm marco de angulo 2"</v>
      </c>
      <c r="C81" s="353"/>
      <c r="D81" s="353"/>
      <c r="E81" s="137" t="str">
        <f>Presupuesto!E14</f>
        <v>u</v>
      </c>
      <c r="F81" s="354" t="s">
        <v>217</v>
      </c>
      <c r="G81" s="354"/>
      <c r="H81" s="138" t="s">
        <v>218</v>
      </c>
    </row>
    <row r="82" spans="1:8" ht="13.8" x14ac:dyDescent="0.3">
      <c r="A82" s="270" t="s">
        <v>219</v>
      </c>
      <c r="B82" s="139"/>
      <c r="C82" s="139"/>
      <c r="D82" s="139" t="s">
        <v>231</v>
      </c>
      <c r="E82" s="140" t="s">
        <v>7</v>
      </c>
      <c r="F82" s="140" t="s">
        <v>221</v>
      </c>
      <c r="G82" s="141" t="s">
        <v>9</v>
      </c>
      <c r="H82" s="142" t="s">
        <v>222</v>
      </c>
    </row>
    <row r="83" spans="1:8" ht="27.6" x14ac:dyDescent="0.3">
      <c r="A83" s="271" t="s">
        <v>352</v>
      </c>
      <c r="B83" s="127"/>
      <c r="C83" s="127"/>
      <c r="D83" s="143">
        <v>3</v>
      </c>
      <c r="E83" s="144">
        <f>D83</f>
        <v>3</v>
      </c>
      <c r="F83" s="144">
        <v>1</v>
      </c>
      <c r="G83" s="145">
        <f>E83*F83</f>
        <v>3</v>
      </c>
      <c r="H83" s="146"/>
    </row>
    <row r="84" spans="1:8" ht="27.6" x14ac:dyDescent="0.3">
      <c r="A84" s="271" t="s">
        <v>351</v>
      </c>
      <c r="B84" s="127"/>
      <c r="C84" s="127"/>
      <c r="D84" s="143">
        <v>2</v>
      </c>
      <c r="E84" s="144">
        <f>D84</f>
        <v>2</v>
      </c>
      <c r="F84" s="144">
        <v>1</v>
      </c>
      <c r="G84" s="145">
        <f>E84*F84</f>
        <v>2</v>
      </c>
      <c r="H84" s="146"/>
    </row>
    <row r="85" spans="1:8" ht="27.6" x14ac:dyDescent="0.3">
      <c r="A85" s="271" t="s">
        <v>350</v>
      </c>
      <c r="B85" s="127"/>
      <c r="C85" s="127"/>
      <c r="D85" s="143">
        <v>1</v>
      </c>
      <c r="E85" s="144">
        <f>D85</f>
        <v>1</v>
      </c>
      <c r="F85" s="144">
        <v>1</v>
      </c>
      <c r="G85" s="145">
        <f>E85*F85</f>
        <v>1</v>
      </c>
      <c r="H85" s="146"/>
    </row>
    <row r="86" spans="1:8" ht="14.4" x14ac:dyDescent="0.3">
      <c r="A86" s="355"/>
      <c r="B86" s="355"/>
      <c r="C86" s="355"/>
      <c r="D86" s="355"/>
      <c r="E86" s="355"/>
      <c r="F86" s="33" t="s">
        <v>9</v>
      </c>
      <c r="G86" s="147">
        <f>SUM(G83:G85)</f>
        <v>6</v>
      </c>
      <c r="H86" s="146"/>
    </row>
    <row r="87" spans="1:8" ht="14.4" x14ac:dyDescent="0.3">
      <c r="A87" s="272"/>
      <c r="B87" s="34"/>
      <c r="C87" s="34"/>
      <c r="D87" s="34"/>
      <c r="E87" s="34"/>
      <c r="F87" s="35"/>
      <c r="G87" s="143"/>
      <c r="H87" s="146"/>
    </row>
    <row r="88" spans="1:8" ht="13.8" x14ac:dyDescent="0.3">
      <c r="A88" s="269" t="s">
        <v>214</v>
      </c>
      <c r="B88" s="354" t="s">
        <v>215</v>
      </c>
      <c r="C88" s="354"/>
      <c r="D88" s="354"/>
      <c r="E88" s="133" t="s">
        <v>216</v>
      </c>
      <c r="F88" s="134"/>
      <c r="G88" s="135"/>
      <c r="H88" s="135"/>
    </row>
    <row r="89" spans="1:8" ht="30.6" customHeight="1" x14ac:dyDescent="0.3">
      <c r="A89" s="136" t="s">
        <v>226</v>
      </c>
      <c r="B89" s="353" t="str">
        <f>Presupuesto!D15</f>
        <v>Pozos de revisión bajos 0-2m</v>
      </c>
      <c r="C89" s="353"/>
      <c r="D89" s="353"/>
      <c r="E89" s="137" t="str">
        <f>Presupuesto!E15</f>
        <v>u</v>
      </c>
      <c r="F89" s="354" t="s">
        <v>217</v>
      </c>
      <c r="G89" s="354"/>
      <c r="H89" s="138" t="s">
        <v>218</v>
      </c>
    </row>
    <row r="90" spans="1:8" ht="13.8" x14ac:dyDescent="0.3">
      <c r="A90" s="270" t="s">
        <v>219</v>
      </c>
      <c r="B90" s="139"/>
      <c r="C90" s="139"/>
      <c r="D90" s="139" t="s">
        <v>231</v>
      </c>
      <c r="E90" s="140" t="s">
        <v>7</v>
      </c>
      <c r="F90" s="140" t="s">
        <v>221</v>
      </c>
      <c r="G90" s="141" t="s">
        <v>9</v>
      </c>
      <c r="H90" s="142" t="s">
        <v>222</v>
      </c>
    </row>
    <row r="91" spans="1:8" ht="14.4" x14ac:dyDescent="0.3">
      <c r="A91" s="277" t="s">
        <v>353</v>
      </c>
      <c r="B91" s="127"/>
      <c r="C91" s="127"/>
      <c r="D91" s="143">
        <v>1</v>
      </c>
      <c r="E91" s="144">
        <f>D91</f>
        <v>1</v>
      </c>
      <c r="F91" s="144">
        <v>1</v>
      </c>
      <c r="G91" s="145">
        <f>E91*F91</f>
        <v>1</v>
      </c>
      <c r="H91" s="146"/>
    </row>
    <row r="92" spans="1:8" ht="14.4" x14ac:dyDescent="0.3">
      <c r="A92" s="355"/>
      <c r="B92" s="355"/>
      <c r="C92" s="355"/>
      <c r="D92" s="355"/>
      <c r="E92" s="355"/>
      <c r="F92" s="33" t="s">
        <v>9</v>
      </c>
      <c r="G92" s="147">
        <f>SUM(G91)</f>
        <v>1</v>
      </c>
      <c r="H92" s="146"/>
    </row>
    <row r="94" spans="1:8" ht="13.8" x14ac:dyDescent="0.3">
      <c r="A94" s="269" t="s">
        <v>214</v>
      </c>
      <c r="B94" s="354" t="s">
        <v>215</v>
      </c>
      <c r="C94" s="354"/>
      <c r="D94" s="354"/>
      <c r="E94" s="133" t="s">
        <v>216</v>
      </c>
      <c r="F94" s="134"/>
      <c r="G94" s="135"/>
      <c r="H94" s="135"/>
    </row>
    <row r="95" spans="1:8" ht="13.8" x14ac:dyDescent="0.3">
      <c r="A95" s="136">
        <f>Presupuesto!B16</f>
        <v>9</v>
      </c>
      <c r="B95" s="353" t="str">
        <f>Presupuesto!D16</f>
        <v>Tuberia PVC 160 mm de uso sanitario</v>
      </c>
      <c r="C95" s="353"/>
      <c r="D95" s="353"/>
      <c r="E95" s="137" t="str">
        <f>Presupuesto!E16</f>
        <v>m</v>
      </c>
      <c r="F95" s="354" t="s">
        <v>217</v>
      </c>
      <c r="G95" s="354"/>
      <c r="H95" s="138" t="s">
        <v>218</v>
      </c>
    </row>
    <row r="96" spans="1:8" ht="13.8" x14ac:dyDescent="0.3">
      <c r="A96" s="270" t="s">
        <v>219</v>
      </c>
      <c r="B96" s="139"/>
      <c r="C96" s="139"/>
      <c r="D96" s="139" t="s">
        <v>225</v>
      </c>
      <c r="E96" s="140" t="s">
        <v>7</v>
      </c>
      <c r="F96" s="140" t="s">
        <v>221</v>
      </c>
      <c r="G96" s="141" t="s">
        <v>9</v>
      </c>
      <c r="H96" s="142" t="s">
        <v>222</v>
      </c>
    </row>
    <row r="97" spans="1:14" ht="27.6" x14ac:dyDescent="0.3">
      <c r="A97" s="276" t="s">
        <v>358</v>
      </c>
      <c r="B97" s="34"/>
      <c r="C97" s="127"/>
      <c r="D97" s="34">
        <f>B68</f>
        <v>43.17</v>
      </c>
      <c r="E97" s="144">
        <f t="shared" ref="E97:E101" si="7">D97</f>
        <v>43.17</v>
      </c>
      <c r="F97" s="144">
        <v>1</v>
      </c>
      <c r="G97" s="145">
        <f>E97*F97</f>
        <v>43.17</v>
      </c>
      <c r="H97" s="146"/>
    </row>
    <row r="98" spans="1:14" ht="27.6" x14ac:dyDescent="0.3">
      <c r="A98" s="276" t="s">
        <v>359</v>
      </c>
      <c r="B98" s="34"/>
      <c r="C98" s="127"/>
      <c r="D98" s="34">
        <f>B69</f>
        <v>33.6</v>
      </c>
      <c r="E98" s="144">
        <f t="shared" si="7"/>
        <v>33.6</v>
      </c>
      <c r="F98" s="144">
        <v>1</v>
      </c>
      <c r="G98" s="145">
        <f t="shared" ref="G98:G101" si="8">E98*F98</f>
        <v>33.6</v>
      </c>
      <c r="H98" s="146"/>
      <c r="I98" s="279"/>
      <c r="J98" s="153"/>
      <c r="K98" s="148"/>
      <c r="L98" s="148"/>
      <c r="M98" s="148"/>
      <c r="N98" s="148"/>
    </row>
    <row r="99" spans="1:14" ht="27.6" x14ac:dyDescent="0.3">
      <c r="A99" s="276" t="s">
        <v>360</v>
      </c>
      <c r="B99" s="34"/>
      <c r="C99" s="127"/>
      <c r="D99" s="34">
        <f>B71</f>
        <v>4.8899999999999997</v>
      </c>
      <c r="E99" s="144">
        <f t="shared" si="7"/>
        <v>4.8899999999999997</v>
      </c>
      <c r="F99" s="144">
        <v>1</v>
      </c>
      <c r="G99" s="145">
        <f t="shared" si="8"/>
        <v>4.8899999999999997</v>
      </c>
      <c r="H99" s="146"/>
    </row>
    <row r="100" spans="1:14" ht="41.4" x14ac:dyDescent="0.3">
      <c r="A100" s="276" t="s">
        <v>361</v>
      </c>
      <c r="B100" s="34"/>
      <c r="C100" s="127"/>
      <c r="D100" s="34">
        <f>B72</f>
        <v>11.38</v>
      </c>
      <c r="E100" s="144">
        <f t="shared" si="7"/>
        <v>11.38</v>
      </c>
      <c r="F100" s="144">
        <v>1</v>
      </c>
      <c r="G100" s="145">
        <f t="shared" si="8"/>
        <v>11.38</v>
      </c>
      <c r="H100" s="146"/>
    </row>
    <row r="101" spans="1:14" ht="41.4" x14ac:dyDescent="0.3">
      <c r="A101" s="276" t="s">
        <v>453</v>
      </c>
      <c r="B101" s="34"/>
      <c r="C101" s="127"/>
      <c r="D101" s="34">
        <f>B73</f>
        <v>7.57</v>
      </c>
      <c r="E101" s="144">
        <f t="shared" si="7"/>
        <v>7.57</v>
      </c>
      <c r="F101" s="144">
        <v>1</v>
      </c>
      <c r="G101" s="145">
        <f t="shared" si="8"/>
        <v>7.57</v>
      </c>
      <c r="H101" s="146"/>
    </row>
    <row r="102" spans="1:14" ht="14.4" x14ac:dyDescent="0.3">
      <c r="A102" s="355"/>
      <c r="B102" s="355"/>
      <c r="C102" s="355"/>
      <c r="D102" s="355"/>
      <c r="E102" s="355"/>
      <c r="F102" s="33" t="s">
        <v>9</v>
      </c>
      <c r="G102" s="147">
        <f>SUM(G97:G101)</f>
        <v>100.61000000000001</v>
      </c>
      <c r="H102" s="146"/>
    </row>
    <row r="104" spans="1:14" ht="13.8" x14ac:dyDescent="0.3">
      <c r="A104" s="269" t="s">
        <v>214</v>
      </c>
      <c r="B104" s="354" t="s">
        <v>215</v>
      </c>
      <c r="C104" s="354"/>
      <c r="D104" s="354"/>
      <c r="E104" s="133" t="s">
        <v>216</v>
      </c>
      <c r="F104" s="134"/>
      <c r="G104" s="135"/>
      <c r="H104" s="135"/>
    </row>
    <row r="105" spans="1:14" ht="13.8" x14ac:dyDescent="0.3">
      <c r="A105" s="136">
        <f>Presupuesto!B17</f>
        <v>10</v>
      </c>
      <c r="B105" s="353" t="str">
        <f>Presupuesto!D17</f>
        <v>Tuberia PVC 50 mm de uso sanitario</v>
      </c>
      <c r="C105" s="353"/>
      <c r="D105" s="353"/>
      <c r="E105" s="137" t="str">
        <f>Presupuesto!E16</f>
        <v>m</v>
      </c>
      <c r="F105" s="354" t="s">
        <v>217</v>
      </c>
      <c r="G105" s="354"/>
      <c r="H105" s="138" t="s">
        <v>218</v>
      </c>
    </row>
    <row r="106" spans="1:14" ht="13.8" x14ac:dyDescent="0.3">
      <c r="A106" s="270" t="s">
        <v>219</v>
      </c>
      <c r="B106" s="139"/>
      <c r="C106" s="139"/>
      <c r="D106" s="139" t="s">
        <v>225</v>
      </c>
      <c r="E106" s="140" t="s">
        <v>7</v>
      </c>
      <c r="F106" s="140" t="s">
        <v>221</v>
      </c>
      <c r="G106" s="141" t="s">
        <v>9</v>
      </c>
      <c r="H106" s="142" t="s">
        <v>222</v>
      </c>
    </row>
    <row r="107" spans="1:14" ht="27.6" x14ac:dyDescent="0.3">
      <c r="A107" s="271" t="s">
        <v>355</v>
      </c>
      <c r="B107" s="127"/>
      <c r="C107" s="127"/>
      <c r="D107" s="143">
        <f>(0.56+2.81)+(0.47+3.27+1.1)*6+(1.1+0.47+2.93)*2</f>
        <v>41.41</v>
      </c>
      <c r="E107" s="144">
        <f>D107</f>
        <v>41.41</v>
      </c>
      <c r="F107" s="144">
        <v>1</v>
      </c>
      <c r="G107" s="145">
        <f>E107*F107</f>
        <v>41.41</v>
      </c>
      <c r="H107" s="146"/>
    </row>
    <row r="108" spans="1:14" ht="27.6" x14ac:dyDescent="0.3">
      <c r="A108" s="271" t="s">
        <v>356</v>
      </c>
      <c r="B108" s="127"/>
      <c r="C108" s="127"/>
      <c r="D108" s="143">
        <f>7.29</f>
        <v>7.29</v>
      </c>
      <c r="E108" s="144">
        <f>D108</f>
        <v>7.29</v>
      </c>
      <c r="F108" s="144">
        <v>2</v>
      </c>
      <c r="G108" s="145">
        <f>E108*F108</f>
        <v>14.58</v>
      </c>
      <c r="H108" s="146"/>
      <c r="I108" s="279"/>
      <c r="J108" s="148"/>
      <c r="K108" s="148"/>
      <c r="L108" s="148"/>
      <c r="M108" s="148"/>
      <c r="N108" s="148"/>
    </row>
    <row r="109" spans="1:14" ht="27.6" x14ac:dyDescent="0.3">
      <c r="A109" s="271" t="s">
        <v>357</v>
      </c>
      <c r="B109" s="127"/>
      <c r="C109" s="127"/>
      <c r="D109" s="143">
        <f>0.56+0.75+0.75+0.4</f>
        <v>2.46</v>
      </c>
      <c r="E109" s="144">
        <f>D109</f>
        <v>2.46</v>
      </c>
      <c r="F109" s="144">
        <v>3</v>
      </c>
      <c r="G109" s="145">
        <f>E109*F109</f>
        <v>7.38</v>
      </c>
      <c r="H109" s="146"/>
    </row>
    <row r="110" spans="1:14" ht="14.4" x14ac:dyDescent="0.3">
      <c r="A110" s="355"/>
      <c r="B110" s="355"/>
      <c r="C110" s="355"/>
      <c r="D110" s="355"/>
      <c r="E110" s="355"/>
      <c r="F110" s="33" t="s">
        <v>9</v>
      </c>
      <c r="G110" s="147">
        <f>SUM(G107:G109)</f>
        <v>63.37</v>
      </c>
      <c r="H110" s="146"/>
    </row>
    <row r="111" spans="1:14" ht="14.4" x14ac:dyDescent="0.3">
      <c r="A111" s="272"/>
      <c r="B111" s="34"/>
      <c r="C111" s="34"/>
      <c r="D111" s="34"/>
      <c r="E111" s="34"/>
      <c r="F111" s="35"/>
      <c r="G111" s="143"/>
      <c r="H111" s="146"/>
    </row>
    <row r="112" spans="1:14" ht="13.8" x14ac:dyDescent="0.3">
      <c r="A112" s="269" t="s">
        <v>214</v>
      </c>
      <c r="B112" s="354" t="s">
        <v>215</v>
      </c>
      <c r="C112" s="354"/>
      <c r="D112" s="354"/>
      <c r="E112" s="133" t="s">
        <v>216</v>
      </c>
      <c r="F112" s="134"/>
      <c r="G112" s="135"/>
      <c r="H112" s="135"/>
    </row>
    <row r="113" spans="1:15" ht="13.8" x14ac:dyDescent="0.3">
      <c r="A113" s="136">
        <f>Presupuesto!B18</f>
        <v>11</v>
      </c>
      <c r="B113" s="353" t="str">
        <f>Presupuesto!D18</f>
        <v>Tuberia PVC 110 mm de uso sanitario</v>
      </c>
      <c r="C113" s="353"/>
      <c r="D113" s="353"/>
      <c r="E113" s="137" t="str">
        <f>Presupuesto!E18</f>
        <v>m</v>
      </c>
      <c r="F113" s="354" t="s">
        <v>217</v>
      </c>
      <c r="G113" s="354"/>
      <c r="H113" s="138" t="s">
        <v>218</v>
      </c>
    </row>
    <row r="114" spans="1:15" ht="13.8" x14ac:dyDescent="0.3">
      <c r="A114" s="270" t="s">
        <v>219</v>
      </c>
      <c r="B114" s="139"/>
      <c r="C114" s="139"/>
      <c r="D114" s="139" t="s">
        <v>225</v>
      </c>
      <c r="E114" s="140" t="s">
        <v>7</v>
      </c>
      <c r="F114" s="140" t="s">
        <v>221</v>
      </c>
      <c r="G114" s="141" t="s">
        <v>9</v>
      </c>
      <c r="H114" s="142" t="s">
        <v>222</v>
      </c>
    </row>
    <row r="115" spans="1:15" ht="27.6" x14ac:dyDescent="0.3">
      <c r="A115" s="276" t="s">
        <v>452</v>
      </c>
      <c r="B115" s="152"/>
      <c r="C115" s="152"/>
      <c r="D115" s="152">
        <f>B67</f>
        <v>17.96</v>
      </c>
      <c r="E115" s="280">
        <f>D115</f>
        <v>17.96</v>
      </c>
      <c r="F115" s="280">
        <v>1</v>
      </c>
      <c r="G115" s="144">
        <f>E115*F115</f>
        <v>17.96</v>
      </c>
      <c r="H115" s="34"/>
    </row>
    <row r="116" spans="1:15" ht="27.6" x14ac:dyDescent="0.3">
      <c r="A116" s="271" t="s">
        <v>354</v>
      </c>
      <c r="B116" s="127"/>
      <c r="C116" s="127"/>
      <c r="D116" s="143">
        <f>B70</f>
        <v>2</v>
      </c>
      <c r="E116" s="144">
        <f>D116</f>
        <v>2</v>
      </c>
      <c r="F116" s="144">
        <v>3</v>
      </c>
      <c r="G116" s="145">
        <f>E116*F116</f>
        <v>6</v>
      </c>
      <c r="H116" s="146"/>
      <c r="I116" s="279"/>
      <c r="J116" s="148"/>
      <c r="K116" s="148"/>
      <c r="L116" s="148"/>
      <c r="M116" s="148"/>
      <c r="N116" s="148"/>
    </row>
    <row r="117" spans="1:15" ht="14.4" x14ac:dyDescent="0.3">
      <c r="A117" s="355"/>
      <c r="B117" s="355"/>
      <c r="C117" s="355"/>
      <c r="D117" s="355"/>
      <c r="E117" s="355"/>
      <c r="F117" s="33" t="s">
        <v>9</v>
      </c>
      <c r="G117" s="147">
        <f>SUM(G115:G116)</f>
        <v>23.96</v>
      </c>
      <c r="H117" s="146"/>
    </row>
    <row r="118" spans="1:15" ht="14.4" x14ac:dyDescent="0.3">
      <c r="A118" s="272"/>
      <c r="B118" s="34"/>
      <c r="C118" s="34"/>
      <c r="D118" s="34"/>
      <c r="E118" s="34"/>
      <c r="F118" s="35"/>
      <c r="G118" s="143"/>
      <c r="H118" s="146"/>
    </row>
    <row r="119" spans="1:15" ht="13.8" x14ac:dyDescent="0.3">
      <c r="A119" s="269" t="s">
        <v>214</v>
      </c>
      <c r="B119" s="354" t="s">
        <v>215</v>
      </c>
      <c r="C119" s="354"/>
      <c r="D119" s="354"/>
      <c r="E119" s="133" t="s">
        <v>216</v>
      </c>
      <c r="F119" s="134"/>
      <c r="G119" s="135"/>
      <c r="H119" s="135"/>
    </row>
    <row r="120" spans="1:15" ht="13.8" x14ac:dyDescent="0.3">
      <c r="A120" s="136">
        <f>Presupuesto!B19</f>
        <v>12</v>
      </c>
      <c r="B120" s="353" t="str">
        <f>Presupuesto!D19</f>
        <v>Yee PVC 160x110 mm de uso sanitario</v>
      </c>
      <c r="C120" s="353"/>
      <c r="D120" s="353"/>
      <c r="E120" s="137" t="str">
        <f>Presupuesto!E19</f>
        <v>u</v>
      </c>
      <c r="F120" s="354" t="s">
        <v>217</v>
      </c>
      <c r="G120" s="354"/>
      <c r="H120" s="138" t="s">
        <v>218</v>
      </c>
    </row>
    <row r="121" spans="1:15" ht="13.8" x14ac:dyDescent="0.3">
      <c r="A121" s="270" t="s">
        <v>219</v>
      </c>
      <c r="B121" s="139"/>
      <c r="C121" s="139"/>
      <c r="D121" s="139" t="s">
        <v>231</v>
      </c>
      <c r="E121" s="140" t="s">
        <v>7</v>
      </c>
      <c r="F121" s="140" t="s">
        <v>221</v>
      </c>
      <c r="G121" s="141" t="s">
        <v>9</v>
      </c>
      <c r="H121" s="142" t="s">
        <v>222</v>
      </c>
      <c r="J121" s="148"/>
      <c r="K121" s="148"/>
      <c r="L121" s="148"/>
      <c r="M121" s="148"/>
      <c r="N121" s="148"/>
      <c r="O121" s="148"/>
    </row>
    <row r="122" spans="1:15" ht="27.6" x14ac:dyDescent="0.3">
      <c r="A122" s="271" t="s">
        <v>303</v>
      </c>
      <c r="B122" s="127"/>
      <c r="C122" s="127"/>
      <c r="D122" s="143">
        <v>6</v>
      </c>
      <c r="E122" s="144">
        <f>D122</f>
        <v>6</v>
      </c>
      <c r="F122" s="144">
        <v>1</v>
      </c>
      <c r="G122" s="145">
        <f>E122*F122</f>
        <v>6</v>
      </c>
      <c r="H122" s="146"/>
      <c r="I122" s="279"/>
      <c r="J122" s="148"/>
      <c r="K122" s="148"/>
      <c r="L122" s="148"/>
      <c r="M122" s="148"/>
      <c r="N122" s="148"/>
      <c r="O122" s="148"/>
    </row>
    <row r="123" spans="1:15" ht="27.6" x14ac:dyDescent="0.3">
      <c r="A123" s="271" t="s">
        <v>302</v>
      </c>
      <c r="B123" s="127"/>
      <c r="C123" s="127"/>
      <c r="D123" s="143">
        <v>2</v>
      </c>
      <c r="E123" s="144">
        <f>D123</f>
        <v>2</v>
      </c>
      <c r="F123" s="144">
        <v>1</v>
      </c>
      <c r="G123" s="145">
        <f>E123*F123</f>
        <v>2</v>
      </c>
      <c r="H123" s="146"/>
      <c r="J123" s="148"/>
      <c r="K123" s="148"/>
      <c r="L123" s="148"/>
      <c r="M123" s="148"/>
      <c r="N123" s="148"/>
      <c r="O123" s="148"/>
    </row>
    <row r="124" spans="1:15" ht="27.6" x14ac:dyDescent="0.3">
      <c r="A124" s="271" t="s">
        <v>362</v>
      </c>
      <c r="B124" s="127"/>
      <c r="C124" s="127"/>
      <c r="D124" s="143">
        <v>3</v>
      </c>
      <c r="E124" s="144">
        <f>D124</f>
        <v>3</v>
      </c>
      <c r="F124" s="144">
        <v>1</v>
      </c>
      <c r="G124" s="145">
        <f>E124*F124</f>
        <v>3</v>
      </c>
      <c r="H124" s="146"/>
      <c r="J124" s="148"/>
      <c r="K124" s="148"/>
      <c r="L124" s="148"/>
      <c r="M124" s="148"/>
      <c r="N124" s="148"/>
      <c r="O124" s="148"/>
    </row>
    <row r="125" spans="1:15" ht="14.4" x14ac:dyDescent="0.3">
      <c r="A125" s="355"/>
      <c r="B125" s="355"/>
      <c r="C125" s="355"/>
      <c r="D125" s="355"/>
      <c r="E125" s="355"/>
      <c r="F125" s="33" t="s">
        <v>9</v>
      </c>
      <c r="G125" s="147">
        <f>SUM(G122:G124)</f>
        <v>11</v>
      </c>
      <c r="H125" s="146"/>
      <c r="J125" s="148"/>
      <c r="K125" s="148"/>
      <c r="L125" s="148"/>
      <c r="M125" s="148"/>
      <c r="N125" s="148"/>
      <c r="O125" s="148"/>
    </row>
    <row r="126" spans="1:15" ht="14.4" x14ac:dyDescent="0.3">
      <c r="A126" s="272"/>
      <c r="B126" s="34"/>
      <c r="C126" s="34"/>
      <c r="D126" s="34"/>
      <c r="E126" s="34"/>
      <c r="F126" s="35"/>
      <c r="G126" s="143"/>
      <c r="H126" s="146"/>
      <c r="J126" s="148"/>
      <c r="K126" s="148"/>
      <c r="L126" s="148"/>
      <c r="M126" s="148"/>
      <c r="N126" s="148"/>
      <c r="O126" s="148"/>
    </row>
    <row r="127" spans="1:15" ht="13.8" x14ac:dyDescent="0.3">
      <c r="A127" s="269" t="s">
        <v>214</v>
      </c>
      <c r="B127" s="354" t="s">
        <v>215</v>
      </c>
      <c r="C127" s="354"/>
      <c r="D127" s="354"/>
      <c r="E127" s="133" t="s">
        <v>216</v>
      </c>
      <c r="F127" s="134"/>
      <c r="G127" s="135"/>
      <c r="H127" s="135"/>
      <c r="J127" s="148"/>
      <c r="K127" s="148"/>
      <c r="L127" s="148"/>
      <c r="M127" s="148"/>
      <c r="N127" s="148"/>
      <c r="O127" s="148"/>
    </row>
    <row r="128" spans="1:15" ht="13.8" x14ac:dyDescent="0.3">
      <c r="A128" s="136">
        <f>Presupuesto!B20</f>
        <v>13</v>
      </c>
      <c r="B128" s="353" t="str">
        <f>Presupuesto!D20</f>
        <v>Yee PVC 110x50 mm de uso sanitario</v>
      </c>
      <c r="C128" s="353"/>
      <c r="D128" s="353"/>
      <c r="E128" s="137" t="str">
        <f>Presupuesto!E20</f>
        <v>u</v>
      </c>
      <c r="F128" s="354" t="s">
        <v>217</v>
      </c>
      <c r="G128" s="354"/>
      <c r="H128" s="138" t="s">
        <v>218</v>
      </c>
      <c r="J128" s="148"/>
      <c r="K128" s="148"/>
      <c r="L128" s="148"/>
      <c r="M128" s="148"/>
      <c r="N128" s="148"/>
      <c r="O128" s="148"/>
    </row>
    <row r="129" spans="1:19" ht="13.8" x14ac:dyDescent="0.3">
      <c r="A129" s="270" t="s">
        <v>219</v>
      </c>
      <c r="B129" s="139"/>
      <c r="C129" s="139"/>
      <c r="D129" s="139" t="s">
        <v>231</v>
      </c>
      <c r="E129" s="140" t="s">
        <v>7</v>
      </c>
      <c r="F129" s="140" t="s">
        <v>221</v>
      </c>
      <c r="G129" s="141" t="s">
        <v>9</v>
      </c>
      <c r="H129" s="142" t="s">
        <v>222</v>
      </c>
      <c r="J129" s="148"/>
      <c r="K129" s="148"/>
      <c r="L129" s="148"/>
      <c r="M129" s="148"/>
      <c r="N129" s="148"/>
      <c r="O129" s="148"/>
    </row>
    <row r="130" spans="1:19" ht="27.6" x14ac:dyDescent="0.3">
      <c r="A130" s="271" t="s">
        <v>363</v>
      </c>
      <c r="B130" s="127"/>
      <c r="C130" s="127"/>
      <c r="D130" s="143">
        <v>3</v>
      </c>
      <c r="E130" s="144">
        <f>D130</f>
        <v>3</v>
      </c>
      <c r="F130" s="144">
        <v>3</v>
      </c>
      <c r="G130" s="145">
        <f>E130*F130</f>
        <v>9</v>
      </c>
      <c r="H130" s="146"/>
      <c r="J130" s="148"/>
      <c r="K130" s="148"/>
      <c r="L130" s="148"/>
      <c r="M130" s="148"/>
      <c r="N130" s="148"/>
      <c r="O130" s="148"/>
    </row>
    <row r="131" spans="1:19" ht="14.4" x14ac:dyDescent="0.3">
      <c r="A131" s="355"/>
      <c r="B131" s="355"/>
      <c r="C131" s="355"/>
      <c r="D131" s="355"/>
      <c r="E131" s="355"/>
      <c r="F131" s="33" t="s">
        <v>9</v>
      </c>
      <c r="G131" s="147">
        <f>G130</f>
        <v>9</v>
      </c>
      <c r="H131" s="146"/>
    </row>
    <row r="132" spans="1:19" ht="14.4" x14ac:dyDescent="0.3">
      <c r="A132" s="272"/>
      <c r="B132" s="34"/>
      <c r="C132" s="34"/>
      <c r="D132" s="34"/>
      <c r="E132" s="34"/>
      <c r="F132" s="35"/>
      <c r="G132" s="143"/>
      <c r="H132" s="146"/>
    </row>
    <row r="133" spans="1:19" ht="13.8" x14ac:dyDescent="0.3">
      <c r="A133" s="269" t="s">
        <v>214</v>
      </c>
      <c r="B133" s="354" t="s">
        <v>215</v>
      </c>
      <c r="C133" s="354"/>
      <c r="D133" s="354"/>
      <c r="E133" s="133" t="s">
        <v>216</v>
      </c>
      <c r="F133" s="134"/>
      <c r="G133" s="135"/>
      <c r="H133" s="135"/>
    </row>
    <row r="134" spans="1:19" ht="13.8" x14ac:dyDescent="0.3">
      <c r="A134" s="136">
        <f>Presupuesto!B21</f>
        <v>14</v>
      </c>
      <c r="B134" s="353" t="str">
        <f>Presupuesto!D21</f>
        <v>Codo PVC 110mm X 45° de uso sanitario</v>
      </c>
      <c r="C134" s="353"/>
      <c r="D134" s="353"/>
      <c r="E134" s="137" t="str">
        <f>Presupuesto!E21</f>
        <v>u</v>
      </c>
      <c r="F134" s="354" t="s">
        <v>217</v>
      </c>
      <c r="G134" s="354"/>
      <c r="H134" s="138" t="s">
        <v>218</v>
      </c>
    </row>
    <row r="135" spans="1:19" ht="13.8" x14ac:dyDescent="0.3">
      <c r="A135" s="270" t="s">
        <v>219</v>
      </c>
      <c r="B135" s="139"/>
      <c r="C135" s="140"/>
      <c r="D135" s="139" t="s">
        <v>231</v>
      </c>
      <c r="E135" s="140" t="s">
        <v>7</v>
      </c>
      <c r="F135" s="140" t="s">
        <v>221</v>
      </c>
      <c r="G135" s="141" t="s">
        <v>9</v>
      </c>
      <c r="H135" s="142" t="s">
        <v>222</v>
      </c>
    </row>
    <row r="136" spans="1:19" ht="27.6" x14ac:dyDescent="0.3">
      <c r="A136" s="271" t="s">
        <v>364</v>
      </c>
      <c r="B136" s="144"/>
      <c r="C136" s="154"/>
      <c r="D136" s="143">
        <v>2</v>
      </c>
      <c r="E136" s="144">
        <f>D136</f>
        <v>2</v>
      </c>
      <c r="F136" s="144">
        <v>3</v>
      </c>
      <c r="G136" s="145">
        <f>E136*F136</f>
        <v>6</v>
      </c>
      <c r="H136" s="146"/>
    </row>
    <row r="137" spans="1:19" ht="14.4" x14ac:dyDescent="0.3">
      <c r="A137" s="355"/>
      <c r="B137" s="355"/>
      <c r="C137" s="355"/>
      <c r="D137" s="355"/>
      <c r="E137" s="355"/>
      <c r="F137" s="33" t="s">
        <v>9</v>
      </c>
      <c r="G137" s="147">
        <f>SUM(G136:G136)</f>
        <v>6</v>
      </c>
      <c r="H137" s="146"/>
    </row>
    <row r="138" spans="1:19" ht="14.4" x14ac:dyDescent="0.3">
      <c r="A138" s="272"/>
      <c r="B138" s="34"/>
      <c r="C138" s="34"/>
      <c r="D138" s="34"/>
      <c r="E138" s="34"/>
      <c r="F138" s="35"/>
      <c r="G138" s="143"/>
      <c r="H138" s="155"/>
    </row>
    <row r="139" spans="1:19" ht="13.8" x14ac:dyDescent="0.3">
      <c r="A139" s="269" t="s">
        <v>214</v>
      </c>
      <c r="B139" s="354" t="s">
        <v>215</v>
      </c>
      <c r="C139" s="354"/>
      <c r="D139" s="354"/>
      <c r="E139" s="133" t="s">
        <v>216</v>
      </c>
      <c r="F139" s="134"/>
      <c r="G139" s="135"/>
      <c r="H139" s="135"/>
    </row>
    <row r="140" spans="1:19" ht="13.8" x14ac:dyDescent="0.3">
      <c r="A140" s="136">
        <f>Presupuesto!B22</f>
        <v>15</v>
      </c>
      <c r="B140" s="353" t="str">
        <f>Presupuesto!D22</f>
        <v>Relleno compactado a mano</v>
      </c>
      <c r="C140" s="353"/>
      <c r="D140" s="353"/>
      <c r="E140" s="137" t="str">
        <f>Presupuesto!E22</f>
        <v>m3</v>
      </c>
      <c r="F140" s="354" t="s">
        <v>217</v>
      </c>
      <c r="G140" s="354"/>
      <c r="H140" s="138" t="s">
        <v>218</v>
      </c>
    </row>
    <row r="141" spans="1:19" ht="27.6" x14ac:dyDescent="0.3">
      <c r="A141" s="270" t="s">
        <v>219</v>
      </c>
      <c r="B141" s="139" t="s">
        <v>233</v>
      </c>
      <c r="C141" s="140" t="s">
        <v>232</v>
      </c>
      <c r="D141" s="139" t="s">
        <v>234</v>
      </c>
      <c r="E141" s="140" t="s">
        <v>7</v>
      </c>
      <c r="F141" s="140" t="s">
        <v>221</v>
      </c>
      <c r="G141" s="141" t="s">
        <v>9</v>
      </c>
      <c r="H141" s="142" t="s">
        <v>222</v>
      </c>
    </row>
    <row r="142" spans="1:19" ht="41.4" x14ac:dyDescent="0.3">
      <c r="A142" s="276" t="s">
        <v>449</v>
      </c>
      <c r="B142" s="280">
        <f t="shared" ref="B142:B148" si="9">G67</f>
        <v>8.6208000000000009</v>
      </c>
      <c r="C142" s="143">
        <f>((3.1416*(0.11^2))/4)*B67</f>
        <v>0.17067998639999998</v>
      </c>
      <c r="D142" s="280">
        <f>B142-C142</f>
        <v>8.4501200136000012</v>
      </c>
      <c r="E142" s="280">
        <f>D142</f>
        <v>8.4501200136000012</v>
      </c>
      <c r="F142" s="280">
        <v>1</v>
      </c>
      <c r="G142" s="144">
        <f>E142*F142</f>
        <v>8.4501200136000012</v>
      </c>
      <c r="H142" s="34"/>
    </row>
    <row r="143" spans="1:19" ht="41.4" x14ac:dyDescent="0.3">
      <c r="A143" s="276" t="s">
        <v>297</v>
      </c>
      <c r="B143" s="143">
        <f t="shared" si="9"/>
        <v>20.721600000000002</v>
      </c>
      <c r="C143" s="143">
        <f>((3.1416*(0.16^2))/4)*B68</f>
        <v>0.86798638080000012</v>
      </c>
      <c r="D143" s="143">
        <f>B143-C143</f>
        <v>19.853613619200001</v>
      </c>
      <c r="E143" s="143">
        <f>D143</f>
        <v>19.853613619200001</v>
      </c>
      <c r="F143" s="143">
        <v>1</v>
      </c>
      <c r="G143" s="143">
        <f>E143*F143</f>
        <v>19.853613619200001</v>
      </c>
      <c r="H143" s="146"/>
      <c r="J143" s="153"/>
    </row>
    <row r="144" spans="1:19" ht="41.4" x14ac:dyDescent="0.3">
      <c r="A144" s="276" t="s">
        <v>298</v>
      </c>
      <c r="B144" s="143">
        <f t="shared" si="9"/>
        <v>16.128</v>
      </c>
      <c r="C144" s="143">
        <f>((3.1416*(0.16^2))/4)*B69</f>
        <v>0.67556966400000007</v>
      </c>
      <c r="D144" s="143">
        <f t="shared" ref="D144:D148" si="10">B144-C144</f>
        <v>15.452430336000001</v>
      </c>
      <c r="E144" s="143">
        <f t="shared" ref="E144:E148" si="11">D144</f>
        <v>15.452430336000001</v>
      </c>
      <c r="F144" s="143">
        <v>1</v>
      </c>
      <c r="G144" s="143">
        <f t="shared" ref="G144:G148" si="12">E144*F144</f>
        <v>15.452430336000001</v>
      </c>
      <c r="H144" s="146"/>
      <c r="I144" s="279"/>
      <c r="J144" s="153"/>
      <c r="K144" s="148"/>
      <c r="L144" s="148"/>
      <c r="M144" s="148"/>
      <c r="N144" s="148"/>
      <c r="O144" s="148"/>
      <c r="P144" s="148"/>
      <c r="Q144" s="148"/>
      <c r="R144" s="148"/>
      <c r="S144" s="148"/>
    </row>
    <row r="145" spans="1:10" ht="41.4" x14ac:dyDescent="0.3">
      <c r="A145" s="276" t="s">
        <v>299</v>
      </c>
      <c r="B145" s="143">
        <f t="shared" si="9"/>
        <v>2.88</v>
      </c>
      <c r="C145" s="143">
        <f>((3.1416*(0.11^2))/4)*B70</f>
        <v>1.9006679999999998E-2</v>
      </c>
      <c r="D145" s="143">
        <f t="shared" si="10"/>
        <v>2.86099332</v>
      </c>
      <c r="E145" s="143">
        <f t="shared" si="11"/>
        <v>2.86099332</v>
      </c>
      <c r="F145" s="143">
        <v>3</v>
      </c>
      <c r="G145" s="143">
        <f t="shared" si="12"/>
        <v>8.5829799599999994</v>
      </c>
      <c r="H145" s="146"/>
      <c r="J145" s="153"/>
    </row>
    <row r="146" spans="1:10" ht="41.4" x14ac:dyDescent="0.3">
      <c r="A146" s="276" t="s">
        <v>300</v>
      </c>
      <c r="B146" s="143">
        <f t="shared" si="9"/>
        <v>2.3472</v>
      </c>
      <c r="C146" s="143">
        <f>((3.1416*(0.16^2))/4)*B71</f>
        <v>9.8319513599999991E-2</v>
      </c>
      <c r="D146" s="143">
        <f t="shared" si="10"/>
        <v>2.2488804864</v>
      </c>
      <c r="E146" s="143">
        <f t="shared" si="11"/>
        <v>2.2488804864</v>
      </c>
      <c r="F146" s="143">
        <v>1</v>
      </c>
      <c r="G146" s="143">
        <f t="shared" si="12"/>
        <v>2.2488804864</v>
      </c>
      <c r="H146" s="146"/>
      <c r="J146" s="153"/>
    </row>
    <row r="147" spans="1:10" ht="55.2" x14ac:dyDescent="0.3">
      <c r="A147" s="276" t="s">
        <v>301</v>
      </c>
      <c r="B147" s="143">
        <f t="shared" si="9"/>
        <v>5.4624000000000006</v>
      </c>
      <c r="C147" s="143">
        <f>((3.1416*(0.16^2))/4)*B72</f>
        <v>0.22880901120000002</v>
      </c>
      <c r="D147" s="143">
        <f t="shared" si="10"/>
        <v>5.2335909888000005</v>
      </c>
      <c r="E147" s="143">
        <f t="shared" si="11"/>
        <v>5.2335909888000005</v>
      </c>
      <c r="F147" s="143">
        <v>1</v>
      </c>
      <c r="G147" s="143">
        <f t="shared" si="12"/>
        <v>5.2335909888000005</v>
      </c>
      <c r="H147" s="146"/>
      <c r="J147" s="153"/>
    </row>
    <row r="148" spans="1:10" ht="41.4" x14ac:dyDescent="0.3">
      <c r="A148" s="276" t="s">
        <v>450</v>
      </c>
      <c r="B148" s="143">
        <f t="shared" si="9"/>
        <v>3.6335999999999999</v>
      </c>
      <c r="C148" s="143">
        <f>((3.1416*(0.16^2))/4)*B73</f>
        <v>0.1522042368</v>
      </c>
      <c r="D148" s="143">
        <f t="shared" si="10"/>
        <v>3.4813957632000001</v>
      </c>
      <c r="E148" s="143">
        <f t="shared" si="11"/>
        <v>3.4813957632000001</v>
      </c>
      <c r="F148" s="143">
        <v>1</v>
      </c>
      <c r="G148" s="143">
        <f t="shared" si="12"/>
        <v>3.4813957632000001</v>
      </c>
      <c r="H148" s="146"/>
      <c r="J148" s="153"/>
    </row>
    <row r="149" spans="1:10" ht="14.4" x14ac:dyDescent="0.3">
      <c r="A149" s="355"/>
      <c r="B149" s="355"/>
      <c r="C149" s="355"/>
      <c r="D149" s="355"/>
      <c r="E149" s="355"/>
      <c r="F149" s="33" t="s">
        <v>9</v>
      </c>
      <c r="G149" s="147">
        <f>SUM(G143:G148)</f>
        <v>54.852891153599998</v>
      </c>
      <c r="H149" s="146"/>
    </row>
    <row r="150" spans="1:10" ht="14.4" x14ac:dyDescent="0.3">
      <c r="A150" s="272"/>
      <c r="B150" s="34"/>
      <c r="C150" s="34"/>
      <c r="D150" s="34"/>
      <c r="E150" s="34"/>
      <c r="F150" s="35"/>
      <c r="G150" s="143"/>
      <c r="H150" s="146"/>
      <c r="J150" s="148"/>
    </row>
    <row r="151" spans="1:10" ht="13.8" x14ac:dyDescent="0.3">
      <c r="A151" s="269" t="s">
        <v>214</v>
      </c>
      <c r="B151" s="354" t="s">
        <v>215</v>
      </c>
      <c r="C151" s="354"/>
      <c r="D151" s="354"/>
      <c r="E151" s="133" t="s">
        <v>216</v>
      </c>
      <c r="F151" s="134"/>
      <c r="G151" s="135"/>
      <c r="H151" s="135"/>
    </row>
    <row r="152" spans="1:10" ht="28.2" customHeight="1" x14ac:dyDescent="0.3">
      <c r="A152" s="136">
        <f>Presupuesto!B23</f>
        <v>16</v>
      </c>
      <c r="B152" s="353" t="str">
        <f>Presupuesto!D23</f>
        <v>Cimientos de hormigón ciclópeo f´c=180 Kg/cm2</v>
      </c>
      <c r="C152" s="353"/>
      <c r="D152" s="353"/>
      <c r="E152" s="137" t="str">
        <f>Presupuesto!E23</f>
        <v>m3</v>
      </c>
      <c r="F152" s="354" t="s">
        <v>217</v>
      </c>
      <c r="G152" s="354"/>
      <c r="H152" s="138" t="s">
        <v>218</v>
      </c>
    </row>
    <row r="153" spans="1:10" ht="13.8" x14ac:dyDescent="0.3">
      <c r="A153" s="270" t="s">
        <v>219</v>
      </c>
      <c r="B153" s="139" t="s">
        <v>230</v>
      </c>
      <c r="C153" s="139" t="s">
        <v>325</v>
      </c>
      <c r="D153" s="139" t="s">
        <v>223</v>
      </c>
      <c r="E153" s="140" t="s">
        <v>7</v>
      </c>
      <c r="F153" s="140" t="s">
        <v>221</v>
      </c>
      <c r="G153" s="141" t="s">
        <v>9</v>
      </c>
      <c r="H153" s="142" t="s">
        <v>222</v>
      </c>
    </row>
    <row r="154" spans="1:10" ht="27.6" x14ac:dyDescent="0.3">
      <c r="A154" s="271" t="s">
        <v>242</v>
      </c>
      <c r="B154" s="127">
        <f>2.75+1.35</f>
        <v>4.0999999999999996</v>
      </c>
      <c r="C154" s="144">
        <v>0.4</v>
      </c>
      <c r="D154" s="144">
        <v>0.4</v>
      </c>
      <c r="E154" s="144">
        <f>B154*C154*D154</f>
        <v>0.65600000000000003</v>
      </c>
      <c r="F154" s="144">
        <v>15</v>
      </c>
      <c r="G154" s="145">
        <f>E154*F154</f>
        <v>9.84</v>
      </c>
      <c r="H154" s="146"/>
    </row>
    <row r="155" spans="1:10" ht="27.6" x14ac:dyDescent="0.3">
      <c r="A155" s="271" t="s">
        <v>241</v>
      </c>
      <c r="B155" s="127">
        <f>2.75+0.75</f>
        <v>3.5</v>
      </c>
      <c r="C155" s="144">
        <v>0.4</v>
      </c>
      <c r="D155" s="144">
        <v>0.4</v>
      </c>
      <c r="E155" s="144">
        <f>B155*C155*D155</f>
        <v>0.56000000000000005</v>
      </c>
      <c r="F155" s="144">
        <v>4</v>
      </c>
      <c r="G155" s="145">
        <f>E155*F155</f>
        <v>2.2400000000000002</v>
      </c>
      <c r="H155" s="146"/>
    </row>
    <row r="156" spans="1:10" ht="27.6" x14ac:dyDescent="0.3">
      <c r="A156" s="271" t="s">
        <v>243</v>
      </c>
      <c r="B156" s="127">
        <f>1.35+2.85</f>
        <v>4.2</v>
      </c>
      <c r="C156" s="144">
        <v>0.4</v>
      </c>
      <c r="D156" s="144">
        <v>0.4</v>
      </c>
      <c r="E156" s="144">
        <f>B156*C156*D156</f>
        <v>0.67200000000000015</v>
      </c>
      <c r="F156" s="144">
        <v>7</v>
      </c>
      <c r="G156" s="145">
        <f>E156*F156</f>
        <v>4.7040000000000006</v>
      </c>
      <c r="H156" s="146"/>
    </row>
    <row r="157" spans="1:10" ht="27.6" x14ac:dyDescent="0.3">
      <c r="A157" s="271" t="s">
        <v>244</v>
      </c>
      <c r="B157" s="127">
        <f>0.75+2.75</f>
        <v>3.5</v>
      </c>
      <c r="C157" s="144">
        <v>0.4</v>
      </c>
      <c r="D157" s="144">
        <v>0.4</v>
      </c>
      <c r="E157" s="144">
        <f>B157*C157*D157</f>
        <v>0.56000000000000005</v>
      </c>
      <c r="F157" s="144">
        <v>2</v>
      </c>
      <c r="G157" s="145">
        <f>E157*F157</f>
        <v>1.1200000000000001</v>
      </c>
      <c r="H157" s="146"/>
    </row>
    <row r="158" spans="1:10" ht="14.4" x14ac:dyDescent="0.3">
      <c r="A158" s="355"/>
      <c r="B158" s="355"/>
      <c r="C158" s="355"/>
      <c r="D158" s="355"/>
      <c r="E158" s="355"/>
      <c r="F158" s="33" t="s">
        <v>9</v>
      </c>
      <c r="G158" s="147">
        <f>SUM(G154:G157)</f>
        <v>17.904</v>
      </c>
      <c r="H158" s="146"/>
      <c r="I158" s="156"/>
    </row>
    <row r="160" spans="1:10" ht="13.8" x14ac:dyDescent="0.3">
      <c r="A160" s="269" t="s">
        <v>214</v>
      </c>
      <c r="B160" s="354" t="s">
        <v>215</v>
      </c>
      <c r="C160" s="354"/>
      <c r="D160" s="354"/>
      <c r="E160" s="133" t="s">
        <v>216</v>
      </c>
      <c r="F160" s="134"/>
      <c r="G160" s="135"/>
      <c r="H160" s="135"/>
    </row>
    <row r="161" spans="1:9" ht="28.2" customHeight="1" x14ac:dyDescent="0.3">
      <c r="A161" s="136">
        <f>Presupuesto!B24</f>
        <v>17</v>
      </c>
      <c r="B161" s="353" t="str">
        <f>Presupuesto!D24</f>
        <v>Hormigón en contrapiso f'c=180 kg/cm2</v>
      </c>
      <c r="C161" s="353"/>
      <c r="D161" s="353"/>
      <c r="E161" s="137" t="str">
        <f>Presupuesto!E24</f>
        <v>m3</v>
      </c>
      <c r="F161" s="354" t="s">
        <v>217</v>
      </c>
      <c r="G161" s="354"/>
      <c r="H161" s="138" t="s">
        <v>218</v>
      </c>
    </row>
    <row r="162" spans="1:9" ht="13.8" x14ac:dyDescent="0.3">
      <c r="A162" s="270" t="s">
        <v>219</v>
      </c>
      <c r="B162" s="139"/>
      <c r="C162" s="139" t="s">
        <v>220</v>
      </c>
      <c r="D162" s="139" t="s">
        <v>223</v>
      </c>
      <c r="E162" s="140" t="s">
        <v>7</v>
      </c>
      <c r="F162" s="140" t="s">
        <v>221</v>
      </c>
      <c r="G162" s="141" t="s">
        <v>9</v>
      </c>
      <c r="H162" s="142" t="s">
        <v>222</v>
      </c>
    </row>
    <row r="163" spans="1:9" ht="27.6" x14ac:dyDescent="0.3">
      <c r="A163" s="271" t="s">
        <v>456</v>
      </c>
      <c r="B163" s="127"/>
      <c r="C163" s="143">
        <v>515.73609999999996</v>
      </c>
      <c r="D163" s="143">
        <v>0.05</v>
      </c>
      <c r="E163" s="144">
        <f>C163*D163</f>
        <v>25.786805000000001</v>
      </c>
      <c r="F163" s="144">
        <v>1</v>
      </c>
      <c r="G163" s="145">
        <f>E163*F163</f>
        <v>25.786805000000001</v>
      </c>
      <c r="H163" s="146"/>
    </row>
    <row r="164" spans="1:9" ht="14.4" x14ac:dyDescent="0.3">
      <c r="A164" s="355"/>
      <c r="B164" s="355"/>
      <c r="C164" s="355"/>
      <c r="D164" s="355"/>
      <c r="E164" s="355"/>
      <c r="F164" s="33" t="s">
        <v>9</v>
      </c>
      <c r="G164" s="147">
        <f>SUM(G163:G163)</f>
        <v>25.786805000000001</v>
      </c>
      <c r="H164" s="146"/>
      <c r="I164" s="156"/>
    </row>
    <row r="165" spans="1:9" ht="14.4" x14ac:dyDescent="0.3">
      <c r="A165" s="272"/>
      <c r="B165" s="34"/>
      <c r="C165" s="34"/>
      <c r="D165" s="34"/>
      <c r="E165" s="34"/>
      <c r="F165" s="35"/>
      <c r="G165" s="143"/>
      <c r="H165" s="146"/>
      <c r="I165" s="156"/>
    </row>
    <row r="167" spans="1:9" ht="13.8" x14ac:dyDescent="0.3">
      <c r="A167" s="269" t="s">
        <v>214</v>
      </c>
      <c r="B167" s="354" t="s">
        <v>215</v>
      </c>
      <c r="C167" s="354"/>
      <c r="D167" s="354"/>
      <c r="E167" s="133" t="s">
        <v>216</v>
      </c>
      <c r="F167" s="134"/>
      <c r="G167" s="135"/>
      <c r="H167" s="135"/>
    </row>
    <row r="168" spans="1:9" ht="13.8" x14ac:dyDescent="0.3">
      <c r="A168" s="136">
        <f>Presupuesto!B25</f>
        <v>18</v>
      </c>
      <c r="B168" s="353" t="str">
        <f>Presupuesto!D25</f>
        <v>Mamposteria de bloque e=15cm.</v>
      </c>
      <c r="C168" s="353"/>
      <c r="D168" s="353"/>
      <c r="E168" s="137" t="str">
        <f>Presupuesto!E25</f>
        <v>m2</v>
      </c>
      <c r="F168" s="354" t="s">
        <v>217</v>
      </c>
      <c r="G168" s="354"/>
      <c r="H168" s="138" t="s">
        <v>218</v>
      </c>
    </row>
    <row r="169" spans="1:9" ht="13.8" x14ac:dyDescent="0.3">
      <c r="A169" s="270" t="s">
        <v>219</v>
      </c>
      <c r="B169" s="139" t="s">
        <v>230</v>
      </c>
      <c r="C169" s="139" t="s">
        <v>223</v>
      </c>
      <c r="D169" s="139" t="s">
        <v>220</v>
      </c>
      <c r="E169" s="140" t="s">
        <v>7</v>
      </c>
      <c r="F169" s="140" t="s">
        <v>221</v>
      </c>
      <c r="G169" s="141" t="s">
        <v>9</v>
      </c>
      <c r="H169" s="142" t="s">
        <v>222</v>
      </c>
    </row>
    <row r="170" spans="1:9" ht="27.6" x14ac:dyDescent="0.3">
      <c r="A170" s="271" t="s">
        <v>242</v>
      </c>
      <c r="B170" s="127">
        <f>2.75+1.35</f>
        <v>4.0999999999999996</v>
      </c>
      <c r="C170" s="127">
        <v>1.9</v>
      </c>
      <c r="D170" s="143">
        <f>B170*C170</f>
        <v>7.7899999999999991</v>
      </c>
      <c r="E170" s="144">
        <f>D170</f>
        <v>7.7899999999999991</v>
      </c>
      <c r="F170" s="144">
        <v>15</v>
      </c>
      <c r="G170" s="145">
        <f>E170*F170</f>
        <v>116.85</v>
      </c>
      <c r="H170" s="146"/>
    </row>
    <row r="171" spans="1:9" ht="27.6" x14ac:dyDescent="0.3">
      <c r="A171" s="271" t="s">
        <v>241</v>
      </c>
      <c r="B171" s="127">
        <f>2.75+0.75</f>
        <v>3.5</v>
      </c>
      <c r="C171" s="127">
        <v>1.9</v>
      </c>
      <c r="D171" s="143">
        <f>B171*C171</f>
        <v>6.6499999999999995</v>
      </c>
      <c r="E171" s="144">
        <f>D171</f>
        <v>6.6499999999999995</v>
      </c>
      <c r="F171" s="144">
        <v>4</v>
      </c>
      <c r="G171" s="145">
        <f>E171*F171</f>
        <v>26.599999999999998</v>
      </c>
      <c r="H171" s="146"/>
    </row>
    <row r="172" spans="1:9" ht="27.6" x14ac:dyDescent="0.3">
      <c r="A172" s="271" t="s">
        <v>243</v>
      </c>
      <c r="B172" s="127">
        <f>1.35+2.85</f>
        <v>4.2</v>
      </c>
      <c r="C172" s="127">
        <v>1.9</v>
      </c>
      <c r="D172" s="144">
        <f>B172*C172</f>
        <v>7.9799999999999995</v>
      </c>
      <c r="E172" s="144">
        <f>D172</f>
        <v>7.9799999999999995</v>
      </c>
      <c r="F172" s="144">
        <v>7</v>
      </c>
      <c r="G172" s="145">
        <f>E172*F172</f>
        <v>55.86</v>
      </c>
      <c r="H172" s="146"/>
    </row>
    <row r="173" spans="1:9" ht="27.6" x14ac:dyDescent="0.3">
      <c r="A173" s="271" t="s">
        <v>244</v>
      </c>
      <c r="B173" s="127">
        <f>0.75+2.75</f>
        <v>3.5</v>
      </c>
      <c r="C173" s="127">
        <v>1.9</v>
      </c>
      <c r="D173" s="144">
        <f>B173*C173</f>
        <v>6.6499999999999995</v>
      </c>
      <c r="E173" s="144">
        <f>D173</f>
        <v>6.6499999999999995</v>
      </c>
      <c r="F173" s="144">
        <v>2</v>
      </c>
      <c r="G173" s="145">
        <f>E173*F173</f>
        <v>13.299999999999999</v>
      </c>
      <c r="H173" s="146"/>
    </row>
    <row r="174" spans="1:9" ht="14.4" x14ac:dyDescent="0.3">
      <c r="A174" s="355"/>
      <c r="B174" s="355"/>
      <c r="C174" s="355"/>
      <c r="D174" s="355"/>
      <c r="E174" s="355"/>
      <c r="F174" s="33" t="s">
        <v>9</v>
      </c>
      <c r="G174" s="147">
        <f>SUM(G170:G173)</f>
        <v>212.61</v>
      </c>
      <c r="H174" s="146"/>
    </row>
    <row r="175" spans="1:9" ht="14.4" x14ac:dyDescent="0.3">
      <c r="A175" s="272"/>
      <c r="B175" s="34"/>
      <c r="C175" s="34"/>
      <c r="D175" s="34"/>
      <c r="E175" s="34"/>
      <c r="F175" s="35"/>
      <c r="G175" s="143"/>
      <c r="H175" s="146"/>
    </row>
    <row r="176" spans="1:9" ht="13.8" x14ac:dyDescent="0.3">
      <c r="A176" s="269" t="s">
        <v>214</v>
      </c>
      <c r="B176" s="354" t="s">
        <v>215</v>
      </c>
      <c r="C176" s="354"/>
      <c r="D176" s="354"/>
      <c r="E176" s="133" t="s">
        <v>216</v>
      </c>
      <c r="F176" s="134"/>
      <c r="G176" s="135"/>
      <c r="H176" s="135"/>
    </row>
    <row r="177" spans="1:8" ht="13.8" x14ac:dyDescent="0.3">
      <c r="A177" s="136">
        <f>Presupuesto!B26</f>
        <v>19</v>
      </c>
      <c r="B177" s="353" t="str">
        <f>Presupuesto!D26</f>
        <v xml:space="preserve">Pintura latex paredes </v>
      </c>
      <c r="C177" s="353"/>
      <c r="D177" s="353"/>
      <c r="E177" s="137" t="str">
        <f>Presupuesto!E26</f>
        <v>m2</v>
      </c>
      <c r="F177" s="354" t="s">
        <v>217</v>
      </c>
      <c r="G177" s="354"/>
      <c r="H177" s="138" t="s">
        <v>218</v>
      </c>
    </row>
    <row r="178" spans="1:8" ht="13.8" x14ac:dyDescent="0.3">
      <c r="A178" s="270" t="s">
        <v>219</v>
      </c>
      <c r="B178" s="139" t="s">
        <v>230</v>
      </c>
      <c r="C178" s="139" t="s">
        <v>223</v>
      </c>
      <c r="D178" s="139" t="s">
        <v>220</v>
      </c>
      <c r="E178" s="140" t="s">
        <v>7</v>
      </c>
      <c r="F178" s="140" t="s">
        <v>221</v>
      </c>
      <c r="G178" s="141" t="s">
        <v>9</v>
      </c>
      <c r="H178" s="142" t="s">
        <v>222</v>
      </c>
    </row>
    <row r="179" spans="1:8" ht="27.6" x14ac:dyDescent="0.3">
      <c r="A179" s="271" t="s">
        <v>242</v>
      </c>
      <c r="B179" s="127">
        <f>2.75+1.35</f>
        <v>4.0999999999999996</v>
      </c>
      <c r="C179" s="127">
        <v>1.9</v>
      </c>
      <c r="D179" s="143">
        <f>B179*C179</f>
        <v>7.7899999999999991</v>
      </c>
      <c r="E179" s="144">
        <f>D179</f>
        <v>7.7899999999999991</v>
      </c>
      <c r="F179" s="144">
        <f>15*2</f>
        <v>30</v>
      </c>
      <c r="G179" s="145">
        <f>E179*F179</f>
        <v>233.7</v>
      </c>
      <c r="H179" s="146"/>
    </row>
    <row r="180" spans="1:8" ht="27.6" x14ac:dyDescent="0.3">
      <c r="A180" s="271" t="s">
        <v>241</v>
      </c>
      <c r="B180" s="127">
        <f>2.75+0.75</f>
        <v>3.5</v>
      </c>
      <c r="C180" s="127">
        <v>1.9</v>
      </c>
      <c r="D180" s="143">
        <f>B180*C180</f>
        <v>6.6499999999999995</v>
      </c>
      <c r="E180" s="144">
        <f>D180</f>
        <v>6.6499999999999995</v>
      </c>
      <c r="F180" s="144">
        <f>4*2</f>
        <v>8</v>
      </c>
      <c r="G180" s="145">
        <f>E180*F180</f>
        <v>53.199999999999996</v>
      </c>
      <c r="H180" s="146"/>
    </row>
    <row r="181" spans="1:8" ht="27.6" x14ac:dyDescent="0.3">
      <c r="A181" s="271" t="s">
        <v>243</v>
      </c>
      <c r="B181" s="127">
        <f>1.35+2.85</f>
        <v>4.2</v>
      </c>
      <c r="C181" s="127">
        <v>1.9</v>
      </c>
      <c r="D181" s="144">
        <f>B181*C181</f>
        <v>7.9799999999999995</v>
      </c>
      <c r="E181" s="144">
        <f>D181</f>
        <v>7.9799999999999995</v>
      </c>
      <c r="F181" s="144">
        <f>7*2</f>
        <v>14</v>
      </c>
      <c r="G181" s="145">
        <f>E181*F181</f>
        <v>111.72</v>
      </c>
      <c r="H181" s="146"/>
    </row>
    <row r="182" spans="1:8" ht="27.6" x14ac:dyDescent="0.3">
      <c r="A182" s="271" t="s">
        <v>244</v>
      </c>
      <c r="B182" s="127">
        <f>0.75+2.75</f>
        <v>3.5</v>
      </c>
      <c r="C182" s="127">
        <v>1.9</v>
      </c>
      <c r="D182" s="144">
        <f>B182*C182</f>
        <v>6.6499999999999995</v>
      </c>
      <c r="E182" s="144">
        <f>D182</f>
        <v>6.6499999999999995</v>
      </c>
      <c r="F182" s="144">
        <f>2*2</f>
        <v>4</v>
      </c>
      <c r="G182" s="145">
        <f>E182*F182</f>
        <v>26.599999999999998</v>
      </c>
      <c r="H182" s="146"/>
    </row>
    <row r="183" spans="1:8" ht="14.4" x14ac:dyDescent="0.3">
      <c r="A183" s="355"/>
      <c r="B183" s="355"/>
      <c r="C183" s="355"/>
      <c r="D183" s="355"/>
      <c r="E183" s="355"/>
      <c r="F183" s="33" t="s">
        <v>9</v>
      </c>
      <c r="G183" s="147">
        <f>SUM(G179:G182)</f>
        <v>425.22</v>
      </c>
      <c r="H183" s="146"/>
    </row>
    <row r="184" spans="1:8" ht="14.4" x14ac:dyDescent="0.3">
      <c r="A184" s="272"/>
      <c r="B184" s="34"/>
      <c r="C184" s="34"/>
      <c r="D184" s="34"/>
      <c r="E184" s="34"/>
      <c r="F184" s="35"/>
      <c r="G184" s="143"/>
      <c r="H184" s="146"/>
    </row>
    <row r="185" spans="1:8" ht="13.8" x14ac:dyDescent="0.3">
      <c r="A185" s="269" t="s">
        <v>214</v>
      </c>
      <c r="B185" s="354" t="s">
        <v>215</v>
      </c>
      <c r="C185" s="354"/>
      <c r="D185" s="354"/>
      <c r="E185" s="133" t="s">
        <v>216</v>
      </c>
      <c r="F185" s="134"/>
      <c r="G185" s="135"/>
      <c r="H185" s="135"/>
    </row>
    <row r="186" spans="1:8" ht="13.8" x14ac:dyDescent="0.3">
      <c r="A186" s="136">
        <f>Presupuesto!B27</f>
        <v>20</v>
      </c>
      <c r="B186" s="353" t="str">
        <f>Presupuesto!D27</f>
        <v>Punto de agua fria PVC-R 1/2" empotrado</v>
      </c>
      <c r="C186" s="353"/>
      <c r="D186" s="353"/>
      <c r="E186" s="137" t="str">
        <f>Presupuesto!E27</f>
        <v>u</v>
      </c>
      <c r="F186" s="354" t="s">
        <v>217</v>
      </c>
      <c r="G186" s="354"/>
      <c r="H186" s="138" t="s">
        <v>218</v>
      </c>
    </row>
    <row r="187" spans="1:8" ht="13.8" x14ac:dyDescent="0.3">
      <c r="A187" s="270" t="s">
        <v>219</v>
      </c>
      <c r="B187" s="139"/>
      <c r="C187" s="139"/>
      <c r="D187" s="139" t="s">
        <v>231</v>
      </c>
      <c r="E187" s="140" t="s">
        <v>7</v>
      </c>
      <c r="F187" s="140" t="s">
        <v>221</v>
      </c>
      <c r="G187" s="141" t="s">
        <v>9</v>
      </c>
      <c r="H187" s="142" t="s">
        <v>222</v>
      </c>
    </row>
    <row r="188" spans="1:8" ht="18.600000000000001" customHeight="1" x14ac:dyDescent="0.3">
      <c r="A188" s="271" t="s">
        <v>246</v>
      </c>
      <c r="B188" s="127"/>
      <c r="C188" s="127"/>
      <c r="D188" s="143">
        <v>17</v>
      </c>
      <c r="E188" s="144">
        <f>D188</f>
        <v>17</v>
      </c>
      <c r="F188" s="144">
        <v>1</v>
      </c>
      <c r="G188" s="145">
        <f>E188*F188</f>
        <v>17</v>
      </c>
      <c r="H188" s="146"/>
    </row>
    <row r="189" spans="1:8" ht="18.600000000000001" customHeight="1" x14ac:dyDescent="0.3">
      <c r="A189" s="271" t="s">
        <v>365</v>
      </c>
      <c r="B189" s="127"/>
      <c r="C189" s="127"/>
      <c r="D189" s="143">
        <v>2</v>
      </c>
      <c r="E189" s="144">
        <f>D189</f>
        <v>2</v>
      </c>
      <c r="F189" s="144">
        <v>1</v>
      </c>
      <c r="G189" s="145">
        <f>E189*F189</f>
        <v>2</v>
      </c>
      <c r="H189" s="146"/>
    </row>
    <row r="190" spans="1:8" ht="18.600000000000001" customHeight="1" x14ac:dyDescent="0.3">
      <c r="A190" s="271" t="s">
        <v>366</v>
      </c>
      <c r="B190" s="127"/>
      <c r="C190" s="127"/>
      <c r="D190" s="143">
        <v>6</v>
      </c>
      <c r="E190" s="144">
        <f>D190</f>
        <v>6</v>
      </c>
      <c r="F190" s="144">
        <v>1</v>
      </c>
      <c r="G190" s="145">
        <f>E190*F190</f>
        <v>6</v>
      </c>
      <c r="H190" s="146"/>
    </row>
    <row r="191" spans="1:8" ht="30.6" customHeight="1" x14ac:dyDescent="0.3">
      <c r="A191" s="271" t="s">
        <v>367</v>
      </c>
      <c r="B191" s="127"/>
      <c r="C191" s="127"/>
      <c r="D191" s="143">
        <v>6</v>
      </c>
      <c r="E191" s="144">
        <f>D191</f>
        <v>6</v>
      </c>
      <c r="F191" s="144">
        <v>1</v>
      </c>
      <c r="G191" s="145">
        <f>E191*F191</f>
        <v>6</v>
      </c>
      <c r="H191" s="146"/>
    </row>
    <row r="192" spans="1:8" ht="14.4" x14ac:dyDescent="0.3">
      <c r="A192" s="355"/>
      <c r="B192" s="355"/>
      <c r="C192" s="355"/>
      <c r="D192" s="355"/>
      <c r="E192" s="355"/>
      <c r="F192" s="33" t="s">
        <v>9</v>
      </c>
      <c r="G192" s="147">
        <f>SUM(G188:G191)</f>
        <v>31</v>
      </c>
      <c r="H192" s="146"/>
    </row>
    <row r="194" spans="1:8" ht="13.8" x14ac:dyDescent="0.3">
      <c r="A194" s="269" t="s">
        <v>214</v>
      </c>
      <c r="B194" s="354" t="s">
        <v>215</v>
      </c>
      <c r="C194" s="354"/>
      <c r="D194" s="354"/>
      <c r="E194" s="133" t="s">
        <v>216</v>
      </c>
      <c r="F194" s="134"/>
      <c r="G194" s="135"/>
      <c r="H194" s="135"/>
    </row>
    <row r="195" spans="1:8" ht="13.8" x14ac:dyDescent="0.3">
      <c r="A195" s="136">
        <f>Presupuesto!B28</f>
        <v>21</v>
      </c>
      <c r="B195" s="353" t="str">
        <f>Presupuesto!D28</f>
        <v>Tubería de agua potable PVC-r de 1/2"</v>
      </c>
      <c r="C195" s="353"/>
      <c r="D195" s="353"/>
      <c r="E195" s="137" t="str">
        <f>Presupuesto!E28</f>
        <v>m</v>
      </c>
      <c r="F195" s="354" t="s">
        <v>217</v>
      </c>
      <c r="G195" s="354"/>
      <c r="H195" s="138" t="s">
        <v>218</v>
      </c>
    </row>
    <row r="196" spans="1:8" ht="13.8" x14ac:dyDescent="0.3">
      <c r="A196" s="270" t="s">
        <v>219</v>
      </c>
      <c r="B196" s="139"/>
      <c r="C196" s="139"/>
      <c r="D196" s="139" t="s">
        <v>225</v>
      </c>
      <c r="E196" s="140" t="s">
        <v>7</v>
      </c>
      <c r="F196" s="140" t="s">
        <v>221</v>
      </c>
      <c r="G196" s="141" t="s">
        <v>9</v>
      </c>
      <c r="H196" s="142" t="s">
        <v>222</v>
      </c>
    </row>
    <row r="197" spans="1:8" ht="14.4" x14ac:dyDescent="0.3">
      <c r="A197" s="277" t="s">
        <v>235</v>
      </c>
      <c r="B197" s="127"/>
      <c r="C197" s="127"/>
      <c r="D197" s="143">
        <f>(0.45+0.12)*17</f>
        <v>9.6900000000000013</v>
      </c>
      <c r="E197" s="144">
        <f>D197</f>
        <v>9.6900000000000013</v>
      </c>
      <c r="F197" s="144">
        <v>1</v>
      </c>
      <c r="G197" s="145">
        <f>E197*F197</f>
        <v>9.6900000000000013</v>
      </c>
      <c r="H197" s="146"/>
    </row>
    <row r="198" spans="1:8" ht="14.4" x14ac:dyDescent="0.3">
      <c r="A198" s="277" t="s">
        <v>237</v>
      </c>
      <c r="B198" s="127"/>
      <c r="C198" s="127"/>
      <c r="D198" s="143">
        <f>0.07*2</f>
        <v>0.14000000000000001</v>
      </c>
      <c r="E198" s="144">
        <f>D198</f>
        <v>0.14000000000000001</v>
      </c>
      <c r="F198" s="144">
        <v>1</v>
      </c>
      <c r="G198" s="145">
        <f>E198*F198</f>
        <v>0.14000000000000001</v>
      </c>
      <c r="H198" s="146"/>
    </row>
    <row r="199" spans="1:8" ht="14.4" x14ac:dyDescent="0.3">
      <c r="A199" s="277" t="s">
        <v>368</v>
      </c>
      <c r="B199" s="127"/>
      <c r="C199" s="127"/>
      <c r="D199" s="143">
        <f>(1.56*3)+(0.08*6)+(0.32)</f>
        <v>5.48</v>
      </c>
      <c r="E199" s="144">
        <f>D199</f>
        <v>5.48</v>
      </c>
      <c r="F199" s="144">
        <v>3</v>
      </c>
      <c r="G199" s="145">
        <f>E199*F199</f>
        <v>16.440000000000001</v>
      </c>
      <c r="H199" s="146"/>
    </row>
    <row r="200" spans="1:8" ht="14.4" x14ac:dyDescent="0.3">
      <c r="A200" s="355"/>
      <c r="B200" s="355"/>
      <c r="C200" s="355"/>
      <c r="D200" s="355"/>
      <c r="E200" s="355"/>
      <c r="F200" s="33" t="s">
        <v>9</v>
      </c>
      <c r="G200" s="147">
        <f>SUM(G197:G199)</f>
        <v>26.270000000000003</v>
      </c>
      <c r="H200" s="146"/>
    </row>
    <row r="202" spans="1:8" ht="13.8" x14ac:dyDescent="0.3">
      <c r="A202" s="269" t="s">
        <v>214</v>
      </c>
      <c r="B202" s="354" t="s">
        <v>215</v>
      </c>
      <c r="C202" s="354"/>
      <c r="D202" s="354"/>
      <c r="E202" s="133" t="s">
        <v>216</v>
      </c>
      <c r="F202" s="134"/>
      <c r="G202" s="135"/>
      <c r="H202" s="135"/>
    </row>
    <row r="203" spans="1:8" ht="13.8" x14ac:dyDescent="0.3">
      <c r="A203" s="136">
        <f>Presupuesto!B29</f>
        <v>22</v>
      </c>
      <c r="B203" s="353" t="str">
        <f>Presupuesto!D29</f>
        <v>Tubería de agua potable PVC-r de 1"</v>
      </c>
      <c r="C203" s="353"/>
      <c r="D203" s="353"/>
      <c r="E203" s="137" t="str">
        <f>Presupuesto!E29</f>
        <v>m</v>
      </c>
      <c r="F203" s="354" t="s">
        <v>217</v>
      </c>
      <c r="G203" s="354"/>
      <c r="H203" s="138" t="s">
        <v>218</v>
      </c>
    </row>
    <row r="204" spans="1:8" ht="13.8" x14ac:dyDescent="0.3">
      <c r="A204" s="270" t="s">
        <v>219</v>
      </c>
      <c r="B204" s="139"/>
      <c r="C204" s="139"/>
      <c r="D204" s="139" t="s">
        <v>225</v>
      </c>
      <c r="E204" s="140" t="s">
        <v>7</v>
      </c>
      <c r="F204" s="140" t="s">
        <v>221</v>
      </c>
      <c r="G204" s="141" t="s">
        <v>9</v>
      </c>
      <c r="H204" s="142" t="s">
        <v>222</v>
      </c>
    </row>
    <row r="205" spans="1:8" ht="14.4" x14ac:dyDescent="0.3">
      <c r="A205" s="271" t="s">
        <v>235</v>
      </c>
      <c r="B205" s="127"/>
      <c r="C205" s="127"/>
      <c r="D205" s="143">
        <v>60.7</v>
      </c>
      <c r="E205" s="144">
        <f>D205</f>
        <v>60.7</v>
      </c>
      <c r="F205" s="144">
        <v>1</v>
      </c>
      <c r="G205" s="145">
        <f>E205*F205</f>
        <v>60.7</v>
      </c>
      <c r="H205" s="146"/>
    </row>
    <row r="206" spans="1:8" ht="14.4" x14ac:dyDescent="0.3">
      <c r="A206" s="271" t="s">
        <v>237</v>
      </c>
      <c r="B206" s="127"/>
      <c r="C206" s="127"/>
      <c r="D206" s="132">
        <v>31.94</v>
      </c>
      <c r="E206" s="144">
        <f>D206</f>
        <v>31.94</v>
      </c>
      <c r="F206" s="144">
        <v>1</v>
      </c>
      <c r="G206" s="145">
        <f>E206*F206</f>
        <v>31.94</v>
      </c>
      <c r="H206" s="146"/>
    </row>
    <row r="207" spans="1:8" ht="14.4" x14ac:dyDescent="0.3">
      <c r="A207" s="271" t="s">
        <v>368</v>
      </c>
      <c r="B207" s="127"/>
      <c r="C207" s="127"/>
      <c r="D207" s="143">
        <f>9.37+2.75</f>
        <v>12.12</v>
      </c>
      <c r="E207" s="144">
        <f>D207</f>
        <v>12.12</v>
      </c>
      <c r="F207" s="144">
        <v>1</v>
      </c>
      <c r="G207" s="145">
        <f>E207*F207</f>
        <v>12.12</v>
      </c>
      <c r="H207" s="146"/>
    </row>
    <row r="208" spans="1:8" ht="14.4" x14ac:dyDescent="0.3">
      <c r="A208" s="271" t="s">
        <v>454</v>
      </c>
      <c r="B208" s="127"/>
      <c r="C208" s="127"/>
      <c r="D208" s="143">
        <v>2.71</v>
      </c>
      <c r="E208" s="144">
        <f>D208</f>
        <v>2.71</v>
      </c>
      <c r="F208" s="144">
        <v>1</v>
      </c>
      <c r="G208" s="145">
        <f>E208*F208</f>
        <v>2.71</v>
      </c>
      <c r="H208" s="146"/>
    </row>
    <row r="209" spans="1:8" ht="14.4" x14ac:dyDescent="0.3">
      <c r="A209" s="355"/>
      <c r="B209" s="355"/>
      <c r="C209" s="355"/>
      <c r="D209" s="355"/>
      <c r="E209" s="355"/>
      <c r="F209" s="33" t="s">
        <v>9</v>
      </c>
      <c r="G209" s="147">
        <f>SUM(G205:G208)</f>
        <v>107.47</v>
      </c>
      <c r="H209" s="146"/>
    </row>
    <row r="210" spans="1:8" ht="14.4" x14ac:dyDescent="0.3">
      <c r="A210" s="272"/>
      <c r="B210" s="34"/>
      <c r="C210" s="34"/>
      <c r="D210" s="34"/>
      <c r="E210" s="34"/>
      <c r="F210" s="35"/>
      <c r="G210" s="143"/>
      <c r="H210" s="146"/>
    </row>
    <row r="211" spans="1:8" ht="13.8" x14ac:dyDescent="0.3">
      <c r="A211" s="269" t="s">
        <v>214</v>
      </c>
      <c r="B211" s="354" t="s">
        <v>215</v>
      </c>
      <c r="C211" s="354"/>
      <c r="D211" s="354"/>
      <c r="E211" s="133" t="s">
        <v>216</v>
      </c>
      <c r="F211" s="134"/>
      <c r="G211" s="135"/>
      <c r="H211" s="135"/>
    </row>
    <row r="212" spans="1:8" ht="13.8" x14ac:dyDescent="0.3">
      <c r="A212" s="136">
        <f>Presupuesto!B30</f>
        <v>23</v>
      </c>
      <c r="B212" s="353" t="str">
        <f>Presupuesto!D30</f>
        <v>Punto de desague en P.V.C  D=50 mm</v>
      </c>
      <c r="C212" s="353"/>
      <c r="D212" s="353"/>
      <c r="E212" s="137" t="str">
        <f>Presupuesto!E30</f>
        <v>u</v>
      </c>
      <c r="F212" s="354" t="s">
        <v>217</v>
      </c>
      <c r="G212" s="354"/>
      <c r="H212" s="138" t="s">
        <v>218</v>
      </c>
    </row>
    <row r="213" spans="1:8" ht="13.8" x14ac:dyDescent="0.3">
      <c r="A213" s="270" t="s">
        <v>219</v>
      </c>
      <c r="B213" s="139"/>
      <c r="C213" s="139"/>
      <c r="D213" s="139" t="s">
        <v>231</v>
      </c>
      <c r="E213" s="140" t="s">
        <v>7</v>
      </c>
      <c r="F213" s="140" t="s">
        <v>221</v>
      </c>
      <c r="G213" s="141" t="s">
        <v>9</v>
      </c>
      <c r="H213" s="142" t="s">
        <v>222</v>
      </c>
    </row>
    <row r="214" spans="1:8" ht="14.4" x14ac:dyDescent="0.3">
      <c r="A214" s="277" t="s">
        <v>369</v>
      </c>
      <c r="B214" s="127"/>
      <c r="C214" s="127"/>
      <c r="D214" s="143">
        <v>17</v>
      </c>
      <c r="E214" s="144">
        <f>D214</f>
        <v>17</v>
      </c>
      <c r="F214" s="144">
        <v>1</v>
      </c>
      <c r="G214" s="145">
        <f>E214*F214</f>
        <v>17</v>
      </c>
      <c r="H214" s="146"/>
    </row>
    <row r="215" spans="1:8" ht="14.4" x14ac:dyDescent="0.3">
      <c r="A215" s="277" t="s">
        <v>370</v>
      </c>
      <c r="B215" s="127"/>
      <c r="C215" s="127"/>
      <c r="D215" s="143">
        <v>2</v>
      </c>
      <c r="E215" s="144">
        <f t="shared" ref="E215:E217" si="13">D215</f>
        <v>2</v>
      </c>
      <c r="F215" s="144">
        <v>1</v>
      </c>
      <c r="G215" s="145">
        <f t="shared" ref="G215:G217" si="14">E215*F215</f>
        <v>2</v>
      </c>
      <c r="H215" s="146"/>
    </row>
    <row r="216" spans="1:8" ht="14.4" x14ac:dyDescent="0.3">
      <c r="A216" s="277" t="s">
        <v>366</v>
      </c>
      <c r="B216" s="127"/>
      <c r="C216" s="127"/>
      <c r="D216" s="143">
        <v>6</v>
      </c>
      <c r="E216" s="144">
        <f t="shared" si="13"/>
        <v>6</v>
      </c>
      <c r="F216" s="144">
        <v>1</v>
      </c>
      <c r="G216" s="145">
        <f t="shared" si="14"/>
        <v>6</v>
      </c>
      <c r="H216" s="146"/>
    </row>
    <row r="217" spans="1:8" ht="27.6" x14ac:dyDescent="0.3">
      <c r="A217" s="271" t="s">
        <v>371</v>
      </c>
      <c r="B217" s="127"/>
      <c r="C217" s="127"/>
      <c r="D217" s="143">
        <v>6</v>
      </c>
      <c r="E217" s="144">
        <f t="shared" si="13"/>
        <v>6</v>
      </c>
      <c r="F217" s="144">
        <v>1</v>
      </c>
      <c r="G217" s="145">
        <f t="shared" si="14"/>
        <v>6</v>
      </c>
      <c r="H217" s="146"/>
    </row>
    <row r="218" spans="1:8" ht="14.4" x14ac:dyDescent="0.3">
      <c r="A218" s="355"/>
      <c r="B218" s="355"/>
      <c r="C218" s="355"/>
      <c r="D218" s="355"/>
      <c r="E218" s="355"/>
      <c r="F218" s="33" t="s">
        <v>9</v>
      </c>
      <c r="G218" s="147">
        <f>SUM(G214:G217)</f>
        <v>31</v>
      </c>
      <c r="H218" s="146"/>
    </row>
    <row r="220" spans="1:8" ht="13.8" x14ac:dyDescent="0.3">
      <c r="A220" s="269" t="s">
        <v>214</v>
      </c>
      <c r="B220" s="354" t="s">
        <v>215</v>
      </c>
      <c r="C220" s="354"/>
      <c r="D220" s="354"/>
      <c r="E220" s="133" t="s">
        <v>216</v>
      </c>
      <c r="F220" s="134"/>
      <c r="G220" s="135"/>
      <c r="H220" s="135"/>
    </row>
    <row r="221" spans="1:8" ht="13.8" x14ac:dyDescent="0.3">
      <c r="A221" s="136">
        <f>Presupuesto!B31</f>
        <v>24</v>
      </c>
      <c r="B221" s="353" t="str">
        <f>Presupuesto!D31</f>
        <v>Punto de Iluminación colgante</v>
      </c>
      <c r="C221" s="353"/>
      <c r="D221" s="353"/>
      <c r="E221" s="137" t="str">
        <f>Presupuesto!E31</f>
        <v>u</v>
      </c>
      <c r="F221" s="354" t="s">
        <v>217</v>
      </c>
      <c r="G221" s="354"/>
      <c r="H221" s="138" t="s">
        <v>218</v>
      </c>
    </row>
    <row r="222" spans="1:8" ht="13.8" x14ac:dyDescent="0.3">
      <c r="A222" s="270" t="s">
        <v>219</v>
      </c>
      <c r="B222" s="139"/>
      <c r="C222" s="139"/>
      <c r="D222" s="139" t="s">
        <v>231</v>
      </c>
      <c r="E222" s="140" t="s">
        <v>7</v>
      </c>
      <c r="F222" s="140" t="s">
        <v>221</v>
      </c>
      <c r="G222" s="141" t="s">
        <v>9</v>
      </c>
      <c r="H222" s="142" t="s">
        <v>222</v>
      </c>
    </row>
    <row r="223" spans="1:8" ht="14.4" x14ac:dyDescent="0.3">
      <c r="A223" s="277" t="s">
        <v>235</v>
      </c>
      <c r="B223" s="127"/>
      <c r="C223" s="127"/>
      <c r="D223" s="143">
        <v>17</v>
      </c>
      <c r="E223" s="144">
        <f>D223</f>
        <v>17</v>
      </c>
      <c r="F223" s="144">
        <v>1</v>
      </c>
      <c r="G223" s="145">
        <f>E223*F223</f>
        <v>17</v>
      </c>
      <c r="H223" s="146"/>
    </row>
    <row r="224" spans="1:8" ht="14.4" x14ac:dyDescent="0.3">
      <c r="A224" s="277" t="s">
        <v>236</v>
      </c>
      <c r="B224" s="127"/>
      <c r="C224" s="127"/>
      <c r="D224" s="144">
        <v>18</v>
      </c>
      <c r="E224" s="144">
        <f t="shared" ref="E224" si="15">D224</f>
        <v>18</v>
      </c>
      <c r="F224" s="144">
        <v>1</v>
      </c>
      <c r="G224" s="145">
        <f t="shared" ref="G224" si="16">E224*F224</f>
        <v>18</v>
      </c>
      <c r="H224" s="146"/>
    </row>
    <row r="225" spans="1:8" ht="14.4" x14ac:dyDescent="0.3">
      <c r="A225" s="355"/>
      <c r="B225" s="355"/>
      <c r="C225" s="355"/>
      <c r="D225" s="355"/>
      <c r="E225" s="355"/>
      <c r="F225" s="33" t="s">
        <v>9</v>
      </c>
      <c r="G225" s="147">
        <f>SUM(G223:G224)</f>
        <v>35</v>
      </c>
      <c r="H225" s="146"/>
    </row>
    <row r="227" spans="1:8" ht="13.8" x14ac:dyDescent="0.3">
      <c r="A227" s="269" t="s">
        <v>214</v>
      </c>
      <c r="B227" s="354" t="s">
        <v>215</v>
      </c>
      <c r="C227" s="354"/>
      <c r="D227" s="354"/>
      <c r="E227" s="133" t="s">
        <v>216</v>
      </c>
      <c r="F227" s="134"/>
      <c r="G227" s="135"/>
      <c r="H227" s="135"/>
    </row>
    <row r="228" spans="1:8" ht="13.8" x14ac:dyDescent="0.3">
      <c r="A228" s="136">
        <f>Presupuesto!B32</f>
        <v>25</v>
      </c>
      <c r="B228" s="353" t="str">
        <f>Presupuesto!D32</f>
        <v>Punto de tomacorrientes dobles (empotrados)</v>
      </c>
      <c r="C228" s="353"/>
      <c r="D228" s="353"/>
      <c r="E228" s="137" t="str">
        <f>Presupuesto!E32</f>
        <v>u</v>
      </c>
      <c r="F228" s="354" t="s">
        <v>217</v>
      </c>
      <c r="G228" s="354"/>
      <c r="H228" s="138" t="s">
        <v>218</v>
      </c>
    </row>
    <row r="229" spans="1:8" ht="13.8" x14ac:dyDescent="0.3">
      <c r="A229" s="270" t="s">
        <v>219</v>
      </c>
      <c r="B229" s="139"/>
      <c r="C229" s="139"/>
      <c r="D229" s="139" t="s">
        <v>231</v>
      </c>
      <c r="E229" s="140" t="s">
        <v>7</v>
      </c>
      <c r="F229" s="140" t="s">
        <v>221</v>
      </c>
      <c r="G229" s="141" t="s">
        <v>9</v>
      </c>
      <c r="H229" s="142" t="s">
        <v>222</v>
      </c>
    </row>
    <row r="230" spans="1:8" ht="14.4" x14ac:dyDescent="0.3">
      <c r="A230" s="277" t="s">
        <v>235</v>
      </c>
      <c r="B230" s="127"/>
      <c r="C230" s="127"/>
      <c r="D230" s="143">
        <f>2*17</f>
        <v>34</v>
      </c>
      <c r="E230" s="144">
        <f>D230</f>
        <v>34</v>
      </c>
      <c r="F230" s="144">
        <v>1</v>
      </c>
      <c r="G230" s="145">
        <f>E230*F230</f>
        <v>34</v>
      </c>
      <c r="H230" s="146"/>
    </row>
    <row r="231" spans="1:8" ht="14.4" x14ac:dyDescent="0.3">
      <c r="A231" s="277" t="s">
        <v>237</v>
      </c>
      <c r="B231" s="127"/>
      <c r="C231" s="127"/>
      <c r="D231" s="144">
        <f>2*18</f>
        <v>36</v>
      </c>
      <c r="E231" s="144">
        <f>D231</f>
        <v>36</v>
      </c>
      <c r="F231" s="144">
        <v>1</v>
      </c>
      <c r="G231" s="145">
        <f>E231*F231</f>
        <v>36</v>
      </c>
      <c r="H231" s="146"/>
    </row>
    <row r="232" spans="1:8" ht="14.4" x14ac:dyDescent="0.3">
      <c r="A232" s="355"/>
      <c r="B232" s="355"/>
      <c r="C232" s="355"/>
      <c r="D232" s="355"/>
      <c r="E232" s="355"/>
      <c r="F232" s="33" t="s">
        <v>9</v>
      </c>
      <c r="G232" s="147">
        <f>SUM(G230:G231)</f>
        <v>70</v>
      </c>
      <c r="H232" s="146"/>
    </row>
    <row r="234" spans="1:8" ht="13.8" x14ac:dyDescent="0.3">
      <c r="A234" s="269" t="s">
        <v>214</v>
      </c>
      <c r="B234" s="354" t="s">
        <v>215</v>
      </c>
      <c r="C234" s="354"/>
      <c r="D234" s="354"/>
      <c r="E234" s="133" t="s">
        <v>216</v>
      </c>
      <c r="F234" s="134"/>
      <c r="G234" s="135"/>
      <c r="H234" s="135"/>
    </row>
    <row r="235" spans="1:8" ht="13.8" x14ac:dyDescent="0.3">
      <c r="A235" s="136">
        <f>Presupuesto!B33</f>
        <v>26</v>
      </c>
      <c r="B235" s="353" t="str">
        <f>Presupuesto!D33</f>
        <v>Interruptor empotrado</v>
      </c>
      <c r="C235" s="353"/>
      <c r="D235" s="353"/>
      <c r="E235" s="137" t="str">
        <f>Presupuesto!E33</f>
        <v>u</v>
      </c>
      <c r="F235" s="354" t="s">
        <v>217</v>
      </c>
      <c r="G235" s="354"/>
      <c r="H235" s="138" t="s">
        <v>218</v>
      </c>
    </row>
    <row r="236" spans="1:8" ht="13.8" x14ac:dyDescent="0.3">
      <c r="A236" s="270" t="s">
        <v>219</v>
      </c>
      <c r="B236" s="139"/>
      <c r="C236" s="139"/>
      <c r="D236" s="139" t="s">
        <v>231</v>
      </c>
      <c r="E236" s="140" t="s">
        <v>7</v>
      </c>
      <c r="F236" s="140" t="s">
        <v>221</v>
      </c>
      <c r="G236" s="141" t="s">
        <v>9</v>
      </c>
      <c r="H236" s="142" t="s">
        <v>222</v>
      </c>
    </row>
    <row r="237" spans="1:8" ht="14.4" x14ac:dyDescent="0.3">
      <c r="A237" s="277" t="s">
        <v>235</v>
      </c>
      <c r="B237" s="127"/>
      <c r="C237" s="127"/>
      <c r="D237" s="143">
        <v>17</v>
      </c>
      <c r="E237" s="144">
        <f>D237</f>
        <v>17</v>
      </c>
      <c r="F237" s="144">
        <v>1</v>
      </c>
      <c r="G237" s="145">
        <f>E237*F237</f>
        <v>17</v>
      </c>
      <c r="H237" s="146"/>
    </row>
    <row r="238" spans="1:8" ht="14.4" x14ac:dyDescent="0.3">
      <c r="A238" s="277" t="s">
        <v>237</v>
      </c>
      <c r="B238" s="127"/>
      <c r="C238" s="127"/>
      <c r="D238" s="144">
        <v>18</v>
      </c>
      <c r="E238" s="144">
        <f t="shared" ref="E238" si="17">D238</f>
        <v>18</v>
      </c>
      <c r="F238" s="144">
        <v>1</v>
      </c>
      <c r="G238" s="145">
        <f t="shared" ref="G238" si="18">E238*F238</f>
        <v>18</v>
      </c>
      <c r="H238" s="146"/>
    </row>
    <row r="239" spans="1:8" ht="14.4" x14ac:dyDescent="0.3">
      <c r="A239" s="355"/>
      <c r="B239" s="355"/>
      <c r="C239" s="355"/>
      <c r="D239" s="355"/>
      <c r="E239" s="355"/>
      <c r="F239" s="33" t="s">
        <v>9</v>
      </c>
      <c r="G239" s="147">
        <f>SUM(G237:G238)</f>
        <v>35</v>
      </c>
      <c r="H239" s="146"/>
    </row>
    <row r="242" spans="1:9" ht="13.8" x14ac:dyDescent="0.3">
      <c r="A242" s="269" t="s">
        <v>214</v>
      </c>
      <c r="B242" s="354" t="s">
        <v>215</v>
      </c>
      <c r="C242" s="354"/>
      <c r="D242" s="354"/>
      <c r="E242" s="133" t="s">
        <v>216</v>
      </c>
      <c r="F242" s="134"/>
      <c r="G242" s="135"/>
      <c r="H242" s="135"/>
    </row>
    <row r="243" spans="1:9" ht="13.8" x14ac:dyDescent="0.3">
      <c r="A243" s="136">
        <f>Presupuesto!B34</f>
        <v>27</v>
      </c>
      <c r="B243" s="353" t="str">
        <f>Presupuesto!D34</f>
        <v>Cable THHn AWG -12</v>
      </c>
      <c r="C243" s="353"/>
      <c r="D243" s="353"/>
      <c r="E243" s="137" t="str">
        <f>Presupuesto!E34</f>
        <v>m</v>
      </c>
      <c r="F243" s="354" t="s">
        <v>217</v>
      </c>
      <c r="G243" s="354"/>
      <c r="H243" s="138" t="s">
        <v>218</v>
      </c>
    </row>
    <row r="244" spans="1:9" ht="13.8" x14ac:dyDescent="0.3">
      <c r="A244" s="270" t="s">
        <v>219</v>
      </c>
      <c r="B244" s="139"/>
      <c r="C244" s="139"/>
      <c r="D244" s="139" t="s">
        <v>225</v>
      </c>
      <c r="E244" s="140" t="s">
        <v>7</v>
      </c>
      <c r="F244" s="140" t="s">
        <v>221</v>
      </c>
      <c r="G244" s="141" t="s">
        <v>9</v>
      </c>
      <c r="H244" s="142" t="s">
        <v>222</v>
      </c>
    </row>
    <row r="245" spans="1:9" ht="14.4" x14ac:dyDescent="0.3">
      <c r="A245" s="277" t="s">
        <v>235</v>
      </c>
      <c r="B245" s="127"/>
      <c r="C245" s="127"/>
      <c r="D245" s="143">
        <f>2.19*2</f>
        <v>4.38</v>
      </c>
      <c r="E245" s="144">
        <f>D245</f>
        <v>4.38</v>
      </c>
      <c r="F245" s="144">
        <f>17*2</f>
        <v>34</v>
      </c>
      <c r="G245" s="145">
        <f>E245*F245</f>
        <v>148.91999999999999</v>
      </c>
      <c r="H245" s="146"/>
    </row>
    <row r="246" spans="1:9" ht="14.4" x14ac:dyDescent="0.3">
      <c r="A246" s="277" t="s">
        <v>237</v>
      </c>
      <c r="B246" s="127"/>
      <c r="C246" s="127"/>
      <c r="D246" s="144">
        <f>2.19*2</f>
        <v>4.38</v>
      </c>
      <c r="E246" s="144">
        <f t="shared" ref="E246" si="19">D246</f>
        <v>4.38</v>
      </c>
      <c r="F246" s="144">
        <f>18*2</f>
        <v>36</v>
      </c>
      <c r="G246" s="145">
        <f t="shared" ref="G246" si="20">E246*F246</f>
        <v>157.68</v>
      </c>
      <c r="H246" s="146"/>
    </row>
    <row r="247" spans="1:9" ht="14.4" x14ac:dyDescent="0.3">
      <c r="A247" s="355"/>
      <c r="B247" s="355"/>
      <c r="C247" s="355"/>
      <c r="D247" s="355"/>
      <c r="E247" s="355"/>
      <c r="F247" s="33" t="s">
        <v>9</v>
      </c>
      <c r="G247" s="147">
        <f>SUM(G245:G246)</f>
        <v>306.60000000000002</v>
      </c>
      <c r="H247" s="146"/>
    </row>
    <row r="248" spans="1:9" ht="14.4" x14ac:dyDescent="0.3">
      <c r="A248" s="272"/>
      <c r="B248" s="34"/>
      <c r="C248" s="34"/>
      <c r="D248" s="34"/>
      <c r="E248" s="34"/>
      <c r="F248" s="35"/>
      <c r="G248" s="143"/>
      <c r="H248" s="146"/>
    </row>
    <row r="249" spans="1:9" ht="13.8" x14ac:dyDescent="0.3">
      <c r="A249" s="269" t="s">
        <v>214</v>
      </c>
      <c r="B249" s="354" t="s">
        <v>215</v>
      </c>
      <c r="C249" s="354"/>
      <c r="D249" s="354"/>
      <c r="E249" s="133" t="s">
        <v>216</v>
      </c>
      <c r="F249" s="134"/>
      <c r="G249" s="135"/>
      <c r="H249" s="135"/>
    </row>
    <row r="250" spans="1:9" ht="13.8" x14ac:dyDescent="0.3">
      <c r="A250" s="136">
        <f>Presupuesto!B35</f>
        <v>28</v>
      </c>
      <c r="B250" s="353" t="str">
        <f>Presupuesto!D35</f>
        <v>Cable THHn AWG - 6</v>
      </c>
      <c r="C250" s="353"/>
      <c r="D250" s="353"/>
      <c r="E250" s="137" t="str">
        <f>Presupuesto!E35</f>
        <v>m</v>
      </c>
      <c r="F250" s="354" t="s">
        <v>217</v>
      </c>
      <c r="G250" s="354"/>
      <c r="H250" s="138" t="s">
        <v>218</v>
      </c>
      <c r="I250" s="148"/>
    </row>
    <row r="251" spans="1:9" ht="13.8" x14ac:dyDescent="0.3">
      <c r="A251" s="270" t="s">
        <v>219</v>
      </c>
      <c r="B251" s="139"/>
      <c r="C251" s="139"/>
      <c r="D251" s="139" t="s">
        <v>225</v>
      </c>
      <c r="E251" s="140" t="s">
        <v>7</v>
      </c>
      <c r="F251" s="140" t="s">
        <v>221</v>
      </c>
      <c r="G251" s="141" t="s">
        <v>9</v>
      </c>
      <c r="H251" s="142" t="s">
        <v>222</v>
      </c>
    </row>
    <row r="252" spans="1:9" ht="27.6" x14ac:dyDescent="0.3">
      <c r="A252" s="271" t="s">
        <v>516</v>
      </c>
      <c r="B252" s="127"/>
      <c r="C252" s="127"/>
      <c r="D252" s="143">
        <f>14.46+31.93+(0.42*2)</f>
        <v>47.230000000000004</v>
      </c>
      <c r="E252" s="144">
        <f>D252</f>
        <v>47.230000000000004</v>
      </c>
      <c r="F252" s="144">
        <v>2</v>
      </c>
      <c r="G252" s="145">
        <f>E252*F252</f>
        <v>94.460000000000008</v>
      </c>
      <c r="H252" s="146"/>
    </row>
    <row r="253" spans="1:9" ht="27.6" x14ac:dyDescent="0.3">
      <c r="A253" s="271" t="s">
        <v>517</v>
      </c>
      <c r="B253" s="127"/>
      <c r="C253" s="127"/>
      <c r="D253" s="144">
        <v>8.3000000000000007</v>
      </c>
      <c r="E253" s="144">
        <f t="shared" ref="E253" si="21">D253</f>
        <v>8.3000000000000007</v>
      </c>
      <c r="F253" s="144">
        <v>2</v>
      </c>
      <c r="G253" s="145">
        <f t="shared" ref="G253" si="22">E253*F253</f>
        <v>16.600000000000001</v>
      </c>
      <c r="H253" s="146"/>
    </row>
    <row r="254" spans="1:9" ht="14.4" x14ac:dyDescent="0.3">
      <c r="A254" s="271" t="s">
        <v>555</v>
      </c>
      <c r="B254" s="127"/>
      <c r="C254" s="127"/>
      <c r="D254" s="144">
        <v>8</v>
      </c>
      <c r="E254" s="144">
        <f>D254</f>
        <v>8</v>
      </c>
      <c r="F254" s="144">
        <v>2</v>
      </c>
      <c r="G254" s="145">
        <f>E254*F254</f>
        <v>16</v>
      </c>
      <c r="H254" s="146"/>
    </row>
    <row r="255" spans="1:9" ht="14.4" x14ac:dyDescent="0.3">
      <c r="A255" s="355"/>
      <c r="B255" s="355"/>
      <c r="C255" s="355"/>
      <c r="D255" s="355"/>
      <c r="E255" s="355"/>
      <c r="F255" s="33" t="s">
        <v>9</v>
      </c>
      <c r="G255" s="147">
        <f>SUM(G252:G254)</f>
        <v>127.06</v>
      </c>
      <c r="H255" s="146"/>
    </row>
    <row r="257" spans="1:8" ht="13.8" x14ac:dyDescent="0.3">
      <c r="A257" s="269" t="s">
        <v>214</v>
      </c>
      <c r="B257" s="354" t="s">
        <v>215</v>
      </c>
      <c r="C257" s="354"/>
      <c r="D257" s="354"/>
      <c r="E257" s="133" t="s">
        <v>216</v>
      </c>
      <c r="F257" s="134"/>
      <c r="G257" s="135"/>
      <c r="H257" s="135"/>
    </row>
    <row r="258" spans="1:8" ht="13.8" x14ac:dyDescent="0.3">
      <c r="A258" s="136">
        <f>Presupuesto!B36</f>
        <v>29</v>
      </c>
      <c r="B258" s="353" t="str">
        <f>Presupuesto!D36</f>
        <v>Acometida eléctrica provisional para ejecución de obra, incl. inst. y mat.</v>
      </c>
      <c r="C258" s="353"/>
      <c r="D258" s="353"/>
      <c r="E258" s="137" t="str">
        <f>Presupuesto!E36</f>
        <v>u</v>
      </c>
      <c r="F258" s="354" t="s">
        <v>217</v>
      </c>
      <c r="G258" s="354"/>
      <c r="H258" s="138" t="s">
        <v>218</v>
      </c>
    </row>
    <row r="259" spans="1:8" ht="13.8" x14ac:dyDescent="0.3">
      <c r="A259" s="270" t="s">
        <v>219</v>
      </c>
      <c r="B259" s="139"/>
      <c r="C259" s="139"/>
      <c r="D259" s="139" t="s">
        <v>231</v>
      </c>
      <c r="E259" s="140" t="s">
        <v>7</v>
      </c>
      <c r="F259" s="140" t="s">
        <v>221</v>
      </c>
      <c r="G259" s="141" t="s">
        <v>9</v>
      </c>
      <c r="H259" s="142" t="s">
        <v>222</v>
      </c>
    </row>
    <row r="260" spans="1:8" ht="41.4" x14ac:dyDescent="0.3">
      <c r="A260" s="271" t="s">
        <v>558</v>
      </c>
      <c r="B260" s="127"/>
      <c r="C260" s="127"/>
      <c r="D260" s="143">
        <v>1</v>
      </c>
      <c r="E260" s="144">
        <f>D260</f>
        <v>1</v>
      </c>
      <c r="F260" s="144">
        <v>1</v>
      </c>
      <c r="G260" s="145">
        <f>E260*F260</f>
        <v>1</v>
      </c>
      <c r="H260" s="146"/>
    </row>
    <row r="261" spans="1:8" ht="14.4" x14ac:dyDescent="0.3">
      <c r="A261" s="355"/>
      <c r="B261" s="355"/>
      <c r="C261" s="355"/>
      <c r="D261" s="355"/>
      <c r="E261" s="355"/>
      <c r="F261" s="33" t="s">
        <v>9</v>
      </c>
      <c r="G261" s="147">
        <f>G260</f>
        <v>1</v>
      </c>
      <c r="H261" s="146"/>
    </row>
    <row r="263" spans="1:8" ht="13.8" x14ac:dyDescent="0.3">
      <c r="A263" s="269" t="s">
        <v>214</v>
      </c>
      <c r="B263" s="354" t="s">
        <v>215</v>
      </c>
      <c r="C263" s="354"/>
      <c r="D263" s="354"/>
      <c r="E263" s="133" t="s">
        <v>216</v>
      </c>
      <c r="F263" s="134"/>
      <c r="G263" s="135"/>
      <c r="H263" s="135"/>
    </row>
    <row r="264" spans="1:8" ht="13.8" x14ac:dyDescent="0.3">
      <c r="A264" s="136">
        <f>Presupuesto!B37</f>
        <v>30</v>
      </c>
      <c r="B264" s="353" t="str">
        <f>Presupuesto!D37</f>
        <v>Acometida domiciliaria de alcantarillado</v>
      </c>
      <c r="C264" s="353"/>
      <c r="D264" s="353"/>
      <c r="E264" s="137" t="str">
        <f>Presupuesto!E37</f>
        <v>u</v>
      </c>
      <c r="F264" s="354" t="s">
        <v>217</v>
      </c>
      <c r="G264" s="354"/>
      <c r="H264" s="138" t="s">
        <v>218</v>
      </c>
    </row>
    <row r="265" spans="1:8" ht="13.8" x14ac:dyDescent="0.3">
      <c r="A265" s="270" t="s">
        <v>219</v>
      </c>
      <c r="B265" s="139"/>
      <c r="C265" s="139"/>
      <c r="D265" s="139" t="s">
        <v>231</v>
      </c>
      <c r="E265" s="140" t="s">
        <v>7</v>
      </c>
      <c r="F265" s="140" t="s">
        <v>221</v>
      </c>
      <c r="G265" s="141" t="s">
        <v>9</v>
      </c>
      <c r="H265" s="142" t="s">
        <v>222</v>
      </c>
    </row>
    <row r="266" spans="1:8" ht="14.4" x14ac:dyDescent="0.3">
      <c r="A266" s="277" t="s">
        <v>418</v>
      </c>
      <c r="B266" s="127"/>
      <c r="C266" s="127"/>
      <c r="D266" s="143">
        <v>1</v>
      </c>
      <c r="E266" s="144">
        <v>1</v>
      </c>
      <c r="F266" s="144">
        <v>1</v>
      </c>
      <c r="G266" s="145">
        <f>E266*F266</f>
        <v>1</v>
      </c>
      <c r="H266" s="146"/>
    </row>
    <row r="267" spans="1:8" ht="14.4" x14ac:dyDescent="0.3">
      <c r="A267" s="355"/>
      <c r="B267" s="355"/>
      <c r="C267" s="355"/>
      <c r="D267" s="355"/>
      <c r="E267" s="355"/>
      <c r="F267" s="33" t="s">
        <v>9</v>
      </c>
      <c r="G267" s="147">
        <f>SUM(G266)</f>
        <v>1</v>
      </c>
      <c r="H267" s="146"/>
    </row>
    <row r="269" spans="1:8" ht="13.8" x14ac:dyDescent="0.3">
      <c r="A269" s="269" t="s">
        <v>214</v>
      </c>
      <c r="B269" s="354" t="s">
        <v>215</v>
      </c>
      <c r="C269" s="354"/>
      <c r="D269" s="354"/>
      <c r="E269" s="133" t="s">
        <v>216</v>
      </c>
      <c r="F269" s="134"/>
      <c r="G269" s="135"/>
      <c r="H269" s="135"/>
    </row>
    <row r="270" spans="1:8" ht="13.8" x14ac:dyDescent="0.3">
      <c r="A270" s="136">
        <f>Presupuesto!B38</f>
        <v>31</v>
      </c>
      <c r="B270" s="353" t="str">
        <f>Presupuesto!D38</f>
        <v>Acometida de agua potable de 1"</v>
      </c>
      <c r="C270" s="353"/>
      <c r="D270" s="353"/>
      <c r="E270" s="137" t="str">
        <f>Presupuesto!E38</f>
        <v>u</v>
      </c>
      <c r="F270" s="354" t="s">
        <v>217</v>
      </c>
      <c r="G270" s="354"/>
      <c r="H270" s="138" t="s">
        <v>218</v>
      </c>
    </row>
    <row r="271" spans="1:8" ht="13.8" x14ac:dyDescent="0.3">
      <c r="A271" s="270" t="s">
        <v>219</v>
      </c>
      <c r="B271" s="139"/>
      <c r="C271" s="139"/>
      <c r="D271" s="139" t="s">
        <v>225</v>
      </c>
      <c r="E271" s="140" t="s">
        <v>7</v>
      </c>
      <c r="F271" s="140" t="s">
        <v>221</v>
      </c>
      <c r="G271" s="141" t="s">
        <v>9</v>
      </c>
      <c r="H271" s="142" t="s">
        <v>222</v>
      </c>
    </row>
    <row r="272" spans="1:8" ht="27.6" x14ac:dyDescent="0.3">
      <c r="A272" s="271" t="s">
        <v>419</v>
      </c>
      <c r="B272" s="127"/>
      <c r="C272" s="127"/>
      <c r="D272" s="143">
        <v>1</v>
      </c>
      <c r="E272" s="144">
        <f>D272</f>
        <v>1</v>
      </c>
      <c r="F272" s="144">
        <v>1</v>
      </c>
      <c r="G272" s="145">
        <f>E272*F272</f>
        <v>1</v>
      </c>
      <c r="H272" s="146"/>
    </row>
    <row r="273" spans="1:10" ht="14.4" x14ac:dyDescent="0.3">
      <c r="A273" s="355"/>
      <c r="B273" s="355"/>
      <c r="C273" s="355"/>
      <c r="D273" s="355"/>
      <c r="E273" s="355"/>
      <c r="F273" s="33" t="s">
        <v>9</v>
      </c>
      <c r="G273" s="147">
        <f>SUM(G272)</f>
        <v>1</v>
      </c>
      <c r="H273" s="146"/>
    </row>
    <row r="275" spans="1:10" ht="13.8" x14ac:dyDescent="0.3">
      <c r="A275" s="269" t="s">
        <v>214</v>
      </c>
      <c r="B275" s="354" t="s">
        <v>215</v>
      </c>
      <c r="C275" s="354"/>
      <c r="D275" s="354"/>
      <c r="E275" s="133" t="s">
        <v>216</v>
      </c>
      <c r="F275" s="134"/>
      <c r="G275" s="135"/>
      <c r="H275" s="135"/>
    </row>
    <row r="276" spans="1:10" ht="13.8" x14ac:dyDescent="0.3">
      <c r="A276" s="136">
        <f>Presupuesto!B39</f>
        <v>32</v>
      </c>
      <c r="B276" s="353" t="str">
        <f>Presupuesto!D39</f>
        <v>Tubo galv. cuadrado a=1 1/2"x 2 mm.</v>
      </c>
      <c r="C276" s="353"/>
      <c r="D276" s="353"/>
      <c r="E276" s="137" t="str">
        <f>Presupuesto!E39</f>
        <v>m</v>
      </c>
      <c r="F276" s="354" t="s">
        <v>217</v>
      </c>
      <c r="G276" s="354"/>
      <c r="H276" s="138" t="s">
        <v>218</v>
      </c>
    </row>
    <row r="277" spans="1:10" ht="41.4" x14ac:dyDescent="0.3">
      <c r="A277" s="270" t="s">
        <v>219</v>
      </c>
      <c r="B277" s="139" t="s">
        <v>248</v>
      </c>
      <c r="C277" s="139" t="s">
        <v>239</v>
      </c>
      <c r="D277" s="139" t="s">
        <v>240</v>
      </c>
      <c r="E277" s="140" t="s">
        <v>7</v>
      </c>
      <c r="F277" s="140" t="s">
        <v>221</v>
      </c>
      <c r="G277" s="141" t="s">
        <v>9</v>
      </c>
      <c r="H277" s="142" t="s">
        <v>222</v>
      </c>
      <c r="J277" s="157"/>
    </row>
    <row r="278" spans="1:10" ht="27.6" x14ac:dyDescent="0.3">
      <c r="A278" s="271" t="s">
        <v>238</v>
      </c>
      <c r="B278" s="127">
        <f>0.435*2+0.48*2</f>
        <v>1.83</v>
      </c>
      <c r="C278" s="127">
        <f>0.9*4</f>
        <v>3.6</v>
      </c>
      <c r="D278" s="143">
        <f>B278+C278</f>
        <v>5.43</v>
      </c>
      <c r="E278" s="144">
        <f>D278</f>
        <v>5.43</v>
      </c>
      <c r="F278" s="144">
        <f>17+2</f>
        <v>19</v>
      </c>
      <c r="G278" s="145">
        <f>E278*F278</f>
        <v>103.16999999999999</v>
      </c>
      <c r="H278" s="146"/>
    </row>
    <row r="279" spans="1:10" ht="14.4" x14ac:dyDescent="0.3">
      <c r="A279" s="271" t="s">
        <v>544</v>
      </c>
      <c r="B279" s="127"/>
      <c r="C279" s="127"/>
      <c r="D279" s="143"/>
      <c r="E279" s="144">
        <f>2*0.435+0.48</f>
        <v>1.35</v>
      </c>
      <c r="F279" s="144">
        <v>19</v>
      </c>
      <c r="G279" s="145">
        <f>E279*F279</f>
        <v>25.650000000000002</v>
      </c>
      <c r="H279" s="146"/>
    </row>
    <row r="280" spans="1:10" ht="14.4" x14ac:dyDescent="0.3">
      <c r="A280" s="355"/>
      <c r="B280" s="355"/>
      <c r="C280" s="355"/>
      <c r="D280" s="355"/>
      <c r="E280" s="355"/>
      <c r="F280" s="33" t="s">
        <v>9</v>
      </c>
      <c r="G280" s="147">
        <f>SUM(G278:G279)</f>
        <v>128.82</v>
      </c>
      <c r="H280" s="146"/>
    </row>
    <row r="282" spans="1:10" ht="13.8" x14ac:dyDescent="0.3">
      <c r="A282" s="269" t="s">
        <v>214</v>
      </c>
      <c r="B282" s="354" t="s">
        <v>215</v>
      </c>
      <c r="C282" s="354"/>
      <c r="D282" s="354"/>
      <c r="E282" s="133" t="s">
        <v>216</v>
      </c>
      <c r="F282" s="134"/>
      <c r="G282" s="135"/>
      <c r="H282" s="135"/>
    </row>
    <row r="283" spans="1:10" ht="13.8" x14ac:dyDescent="0.3">
      <c r="A283" s="136">
        <f>Presupuesto!B40</f>
        <v>33</v>
      </c>
      <c r="B283" s="353" t="str">
        <f>Presupuesto!D40</f>
        <v>Fregadero de 1 pozo sin faldón (poceta)</v>
      </c>
      <c r="C283" s="353"/>
      <c r="D283" s="353"/>
      <c r="E283" s="137" t="str">
        <f>Presupuesto!E40</f>
        <v>u</v>
      </c>
      <c r="F283" s="354" t="s">
        <v>217</v>
      </c>
      <c r="G283" s="354"/>
      <c r="H283" s="138" t="s">
        <v>218</v>
      </c>
    </row>
    <row r="284" spans="1:10" ht="13.8" x14ac:dyDescent="0.3">
      <c r="A284" s="270" t="s">
        <v>219</v>
      </c>
      <c r="B284" s="139"/>
      <c r="C284" s="139"/>
      <c r="D284" s="139" t="s">
        <v>231</v>
      </c>
      <c r="E284" s="140" t="s">
        <v>7</v>
      </c>
      <c r="F284" s="140" t="s">
        <v>221</v>
      </c>
      <c r="G284" s="141" t="s">
        <v>9</v>
      </c>
      <c r="H284" s="142" t="s">
        <v>222</v>
      </c>
    </row>
    <row r="285" spans="1:10" ht="14.4" x14ac:dyDescent="0.3">
      <c r="A285" s="277" t="s">
        <v>235</v>
      </c>
      <c r="B285" s="127"/>
      <c r="C285" s="127"/>
      <c r="D285" s="143">
        <v>17</v>
      </c>
      <c r="E285" s="144">
        <f>D285</f>
        <v>17</v>
      </c>
      <c r="F285" s="144">
        <v>1</v>
      </c>
      <c r="G285" s="145">
        <f>E285*F285</f>
        <v>17</v>
      </c>
      <c r="H285" s="146"/>
    </row>
    <row r="286" spans="1:10" ht="14.4" x14ac:dyDescent="0.3">
      <c r="A286" s="277" t="s">
        <v>237</v>
      </c>
      <c r="B286" s="127"/>
      <c r="C286" s="127"/>
      <c r="D286" s="143">
        <v>2</v>
      </c>
      <c r="E286" s="144">
        <f>D286</f>
        <v>2</v>
      </c>
      <c r="F286" s="144">
        <v>1</v>
      </c>
      <c r="G286" s="145">
        <f>E286*F286</f>
        <v>2</v>
      </c>
      <c r="H286" s="146"/>
    </row>
    <row r="287" spans="1:10" ht="14.4" x14ac:dyDescent="0.3">
      <c r="A287" s="355"/>
      <c r="B287" s="355"/>
      <c r="C287" s="355"/>
      <c r="D287" s="355"/>
      <c r="E287" s="355"/>
      <c r="F287" s="33" t="s">
        <v>9</v>
      </c>
      <c r="G287" s="147">
        <f>SUM(G285:G286)</f>
        <v>19</v>
      </c>
      <c r="H287" s="146"/>
    </row>
    <row r="288" spans="1:10" ht="14.4" x14ac:dyDescent="0.3">
      <c r="A288" s="272"/>
      <c r="B288" s="34"/>
      <c r="C288" s="34"/>
      <c r="D288" s="34"/>
      <c r="E288" s="34"/>
      <c r="F288" s="35"/>
      <c r="G288" s="143"/>
      <c r="H288" s="146"/>
    </row>
    <row r="289" spans="1:15" ht="13.8" x14ac:dyDescent="0.3">
      <c r="A289" s="269" t="s">
        <v>214</v>
      </c>
      <c r="B289" s="354" t="s">
        <v>215</v>
      </c>
      <c r="C289" s="354"/>
      <c r="D289" s="354"/>
      <c r="E289" s="133" t="s">
        <v>216</v>
      </c>
      <c r="F289" s="134"/>
      <c r="G289" s="135"/>
      <c r="H289" s="135"/>
    </row>
    <row r="290" spans="1:15" ht="34.950000000000003" customHeight="1" x14ac:dyDescent="0.3">
      <c r="A290" s="136">
        <f>Presupuesto!B41</f>
        <v>34</v>
      </c>
      <c r="B290" s="353" t="str">
        <f>Presupuesto!D41</f>
        <v>Llaves de agua para manguera d=1/2"</v>
      </c>
      <c r="C290" s="353"/>
      <c r="D290" s="353"/>
      <c r="E290" s="137" t="str">
        <f>Presupuesto!E35</f>
        <v>m</v>
      </c>
      <c r="F290" s="354" t="s">
        <v>217</v>
      </c>
      <c r="G290" s="354"/>
      <c r="H290" s="138" t="s">
        <v>218</v>
      </c>
    </row>
    <row r="291" spans="1:15" ht="13.8" x14ac:dyDescent="0.3">
      <c r="A291" s="270" t="s">
        <v>219</v>
      </c>
      <c r="B291" s="139"/>
      <c r="C291" s="139"/>
      <c r="D291" s="139" t="s">
        <v>231</v>
      </c>
      <c r="E291" s="140" t="s">
        <v>7</v>
      </c>
      <c r="F291" s="140" t="s">
        <v>221</v>
      </c>
      <c r="G291" s="141" t="s">
        <v>9</v>
      </c>
      <c r="H291" s="142" t="s">
        <v>222</v>
      </c>
    </row>
    <row r="292" spans="1:15" ht="14.4" x14ac:dyDescent="0.3">
      <c r="A292" s="277" t="s">
        <v>235</v>
      </c>
      <c r="B292" s="127"/>
      <c r="C292" s="127"/>
      <c r="D292" s="143">
        <v>17</v>
      </c>
      <c r="E292" s="144">
        <f>D292</f>
        <v>17</v>
      </c>
      <c r="F292" s="144">
        <v>1</v>
      </c>
      <c r="G292" s="145">
        <f>E292*F292</f>
        <v>17</v>
      </c>
      <c r="H292" s="146"/>
    </row>
    <row r="293" spans="1:15" ht="14.4" x14ac:dyDescent="0.3">
      <c r="A293" s="277" t="s">
        <v>237</v>
      </c>
      <c r="B293" s="127"/>
      <c r="C293" s="127"/>
      <c r="D293" s="143">
        <v>2</v>
      </c>
      <c r="E293" s="144">
        <f>D293</f>
        <v>2</v>
      </c>
      <c r="F293" s="144">
        <v>1</v>
      </c>
      <c r="G293" s="145">
        <f>E293*F293</f>
        <v>2</v>
      </c>
      <c r="H293" s="146"/>
    </row>
    <row r="294" spans="1:15" ht="14.4" x14ac:dyDescent="0.3">
      <c r="A294" s="355"/>
      <c r="B294" s="355"/>
      <c r="C294" s="355"/>
      <c r="D294" s="355"/>
      <c r="E294" s="355"/>
      <c r="F294" s="33" t="s">
        <v>9</v>
      </c>
      <c r="G294" s="147">
        <f>SUM(G292:G293)</f>
        <v>19</v>
      </c>
      <c r="H294" s="146"/>
    </row>
    <row r="296" spans="1:15" ht="13.8" x14ac:dyDescent="0.3">
      <c r="A296" s="269" t="s">
        <v>214</v>
      </c>
      <c r="B296" s="354" t="s">
        <v>215</v>
      </c>
      <c r="C296" s="354"/>
      <c r="D296" s="354"/>
      <c r="E296" s="133" t="s">
        <v>216</v>
      </c>
      <c r="F296" s="134"/>
      <c r="G296" s="135"/>
      <c r="H296" s="135"/>
    </row>
    <row r="297" spans="1:15" ht="34.950000000000003" customHeight="1" x14ac:dyDescent="0.3">
      <c r="A297" s="136">
        <f>Presupuesto!B42</f>
        <v>35</v>
      </c>
      <c r="B297" s="353" t="str">
        <f>Presupuesto!D42</f>
        <v>Carpa parasol en lona colombiana concor con estructura metálica (3.20x3.0)</v>
      </c>
      <c r="C297" s="353"/>
      <c r="D297" s="353"/>
      <c r="E297" s="137" t="str">
        <f>Presupuesto!E42</f>
        <v>u</v>
      </c>
      <c r="F297" s="354" t="s">
        <v>217</v>
      </c>
      <c r="G297" s="354"/>
      <c r="H297" s="138" t="s">
        <v>218</v>
      </c>
    </row>
    <row r="298" spans="1:15" ht="13.8" x14ac:dyDescent="0.3">
      <c r="A298" s="270" t="s">
        <v>219</v>
      </c>
      <c r="B298" s="139"/>
      <c r="C298" s="139"/>
      <c r="D298" s="139" t="s">
        <v>231</v>
      </c>
      <c r="E298" s="140" t="s">
        <v>7</v>
      </c>
      <c r="F298" s="140" t="s">
        <v>221</v>
      </c>
      <c r="G298" s="141" t="s">
        <v>9</v>
      </c>
      <c r="H298" s="142" t="s">
        <v>222</v>
      </c>
    </row>
    <row r="299" spans="1:15" ht="14.4" x14ac:dyDescent="0.3">
      <c r="A299" s="277" t="s">
        <v>235</v>
      </c>
      <c r="B299" s="127"/>
      <c r="C299" s="127"/>
      <c r="D299" s="143">
        <v>17</v>
      </c>
      <c r="E299" s="144">
        <f>D299</f>
        <v>17</v>
      </c>
      <c r="F299" s="144">
        <v>1</v>
      </c>
      <c r="G299" s="145">
        <f>E299*F299</f>
        <v>17</v>
      </c>
      <c r="H299" s="146"/>
    </row>
    <row r="300" spans="1:15" ht="14.4" x14ac:dyDescent="0.3">
      <c r="A300" s="277" t="s">
        <v>237</v>
      </c>
      <c r="B300" s="127"/>
      <c r="C300" s="127"/>
      <c r="D300" s="144">
        <v>9</v>
      </c>
      <c r="E300" s="144">
        <f>D300</f>
        <v>9</v>
      </c>
      <c r="F300" s="144">
        <v>1</v>
      </c>
      <c r="G300" s="145">
        <f>E300*F300</f>
        <v>9</v>
      </c>
      <c r="H300" s="146"/>
    </row>
    <row r="301" spans="1:15" ht="14.4" x14ac:dyDescent="0.3">
      <c r="A301" s="355"/>
      <c r="B301" s="355"/>
      <c r="C301" s="355"/>
      <c r="D301" s="355"/>
      <c r="E301" s="355"/>
      <c r="F301" s="33" t="s">
        <v>9</v>
      </c>
      <c r="G301" s="147">
        <f>SUM(G299:G300)</f>
        <v>26</v>
      </c>
      <c r="H301" s="146"/>
    </row>
    <row r="303" spans="1:15" ht="13.8" x14ac:dyDescent="0.3">
      <c r="A303" s="269" t="s">
        <v>214</v>
      </c>
      <c r="B303" s="354" t="s">
        <v>215</v>
      </c>
      <c r="C303" s="354"/>
      <c r="D303" s="354"/>
      <c r="E303" s="133" t="s">
        <v>216</v>
      </c>
      <c r="F303" s="134"/>
      <c r="G303" s="135"/>
      <c r="H303" s="135"/>
      <c r="K303" s="148"/>
      <c r="L303" s="148"/>
      <c r="M303" s="148"/>
      <c r="N303" s="148"/>
      <c r="O303" s="148"/>
    </row>
    <row r="304" spans="1:15" ht="33.6" customHeight="1" x14ac:dyDescent="0.3">
      <c r="A304" s="136">
        <f>Presupuesto!B43</f>
        <v>36</v>
      </c>
      <c r="B304" s="353" t="str">
        <f>Presupuesto!D43</f>
        <v>Carpa parasol en lona colombiana concor con estructura metálica (3.20x3.85)</v>
      </c>
      <c r="C304" s="353"/>
      <c r="D304" s="353"/>
      <c r="E304" s="137" t="str">
        <f>Presupuesto!E43</f>
        <v>u</v>
      </c>
      <c r="F304" s="354" t="s">
        <v>217</v>
      </c>
      <c r="G304" s="354"/>
      <c r="H304" s="138" t="s">
        <v>218</v>
      </c>
      <c r="K304" s="148"/>
      <c r="L304" s="148"/>
      <c r="M304" s="148"/>
      <c r="N304" s="148"/>
      <c r="O304" s="148"/>
    </row>
    <row r="305" spans="1:15" ht="13.8" x14ac:dyDescent="0.3">
      <c r="A305" s="270" t="s">
        <v>219</v>
      </c>
      <c r="B305" s="139"/>
      <c r="C305" s="139"/>
      <c r="D305" s="139" t="s">
        <v>231</v>
      </c>
      <c r="E305" s="140" t="s">
        <v>7</v>
      </c>
      <c r="F305" s="140" t="s">
        <v>221</v>
      </c>
      <c r="G305" s="141" t="s">
        <v>9</v>
      </c>
      <c r="H305" s="142" t="s">
        <v>222</v>
      </c>
      <c r="K305" s="148"/>
      <c r="L305" s="148"/>
      <c r="M305" s="148"/>
      <c r="N305" s="148"/>
      <c r="O305" s="148"/>
    </row>
    <row r="306" spans="1:15" ht="14.4" x14ac:dyDescent="0.3">
      <c r="A306" s="277" t="s">
        <v>372</v>
      </c>
      <c r="B306" s="127"/>
      <c r="C306" s="127"/>
      <c r="D306" s="143">
        <f>2*17</f>
        <v>34</v>
      </c>
      <c r="E306" s="144">
        <f>D306</f>
        <v>34</v>
      </c>
      <c r="F306" s="144">
        <v>1</v>
      </c>
      <c r="G306" s="145">
        <f>E306*F306</f>
        <v>34</v>
      </c>
      <c r="H306" s="146"/>
      <c r="K306" s="148"/>
      <c r="L306" s="148"/>
      <c r="M306" s="148"/>
      <c r="N306" s="148"/>
      <c r="O306" s="148"/>
    </row>
    <row r="307" spans="1:15" ht="14.4" x14ac:dyDescent="0.3">
      <c r="A307" s="355"/>
      <c r="B307" s="355"/>
      <c r="C307" s="355"/>
      <c r="D307" s="355"/>
      <c r="E307" s="355"/>
      <c r="F307" s="33" t="s">
        <v>9</v>
      </c>
      <c r="G307" s="147">
        <f>G306</f>
        <v>34</v>
      </c>
      <c r="H307" s="146"/>
      <c r="K307" s="148"/>
      <c r="L307" s="148"/>
      <c r="M307" s="148"/>
      <c r="N307" s="148"/>
      <c r="O307" s="148"/>
    </row>
    <row r="308" spans="1:15" ht="14.4" x14ac:dyDescent="0.3">
      <c r="A308" s="272"/>
      <c r="B308" s="34"/>
      <c r="C308" s="34"/>
      <c r="D308" s="34"/>
      <c r="E308" s="34"/>
      <c r="F308" s="35"/>
      <c r="G308" s="143"/>
      <c r="H308" s="146"/>
      <c r="K308" s="148"/>
      <c r="L308" s="148"/>
      <c r="M308" s="148"/>
      <c r="N308" s="148"/>
      <c r="O308" s="148"/>
    </row>
    <row r="309" spans="1:15" ht="13.8" x14ac:dyDescent="0.3">
      <c r="A309" s="269" t="s">
        <v>214</v>
      </c>
      <c r="B309" s="354" t="s">
        <v>215</v>
      </c>
      <c r="C309" s="354"/>
      <c r="D309" s="354"/>
      <c r="E309" s="133" t="s">
        <v>216</v>
      </c>
      <c r="F309" s="134"/>
      <c r="G309" s="135"/>
      <c r="H309" s="135"/>
      <c r="K309" s="148"/>
      <c r="L309" s="148"/>
      <c r="M309" s="148"/>
      <c r="N309" s="148"/>
      <c r="O309" s="148"/>
    </row>
    <row r="310" spans="1:15" ht="13.8" x14ac:dyDescent="0.3">
      <c r="A310" s="136">
        <f>Presupuesto!B44</f>
        <v>37</v>
      </c>
      <c r="B310" s="353" t="str">
        <f>Presupuesto!D44</f>
        <v>Baños portátiles de fabricación nacional (incluyen lavamanos)</v>
      </c>
      <c r="C310" s="353"/>
      <c r="D310" s="353"/>
      <c r="E310" s="137" t="str">
        <f>Presupuesto!E44</f>
        <v>u</v>
      </c>
      <c r="F310" s="354" t="s">
        <v>217</v>
      </c>
      <c r="G310" s="354"/>
      <c r="H310" s="138" t="s">
        <v>218</v>
      </c>
      <c r="K310" s="148"/>
      <c r="L310" s="148"/>
      <c r="M310" s="148"/>
      <c r="N310" s="148"/>
      <c r="O310" s="148"/>
    </row>
    <row r="311" spans="1:15" ht="13.8" x14ac:dyDescent="0.3">
      <c r="A311" s="270" t="s">
        <v>219</v>
      </c>
      <c r="B311" s="139"/>
      <c r="C311" s="139"/>
      <c r="D311" s="139" t="s">
        <v>231</v>
      </c>
      <c r="E311" s="140" t="s">
        <v>7</v>
      </c>
      <c r="F311" s="140" t="s">
        <v>221</v>
      </c>
      <c r="G311" s="141" t="s">
        <v>9</v>
      </c>
      <c r="H311" s="142" t="s">
        <v>222</v>
      </c>
      <c r="K311" s="148"/>
      <c r="L311" s="148"/>
      <c r="M311" s="148"/>
      <c r="N311" s="148"/>
      <c r="O311" s="148"/>
    </row>
    <row r="312" spans="1:15" ht="27.6" x14ac:dyDescent="0.3">
      <c r="A312" s="271" t="s">
        <v>455</v>
      </c>
      <c r="B312" s="127"/>
      <c r="C312" s="127"/>
      <c r="D312" s="143">
        <v>6</v>
      </c>
      <c r="E312" s="144">
        <f>D312</f>
        <v>6</v>
      </c>
      <c r="F312" s="144">
        <v>1</v>
      </c>
      <c r="G312" s="145">
        <f>E312*F312</f>
        <v>6</v>
      </c>
      <c r="H312" s="146"/>
      <c r="K312" s="148"/>
      <c r="L312" s="148"/>
      <c r="M312" s="148"/>
      <c r="N312" s="148"/>
      <c r="O312" s="148"/>
    </row>
    <row r="313" spans="1:15" ht="14.4" x14ac:dyDescent="0.3">
      <c r="A313" s="355"/>
      <c r="B313" s="355"/>
      <c r="C313" s="355"/>
      <c r="D313" s="355"/>
      <c r="E313" s="355"/>
      <c r="F313" s="33" t="s">
        <v>9</v>
      </c>
      <c r="G313" s="147">
        <f>SUM(G312)</f>
        <v>6</v>
      </c>
      <c r="H313" s="146"/>
      <c r="K313" s="148"/>
      <c r="L313" s="148"/>
      <c r="M313" s="148"/>
      <c r="N313" s="148"/>
      <c r="O313" s="148"/>
    </row>
    <row r="314" spans="1:15" ht="14.4" x14ac:dyDescent="0.3">
      <c r="A314" s="272"/>
      <c r="B314" s="34"/>
      <c r="C314" s="34"/>
      <c r="D314" s="34"/>
      <c r="E314" s="34"/>
      <c r="F314" s="35"/>
      <c r="G314" s="143"/>
      <c r="H314" s="146"/>
      <c r="K314" s="148"/>
      <c r="L314" s="148"/>
      <c r="M314" s="148"/>
      <c r="N314" s="148"/>
      <c r="O314" s="148"/>
    </row>
    <row r="315" spans="1:15" ht="13.8" x14ac:dyDescent="0.3">
      <c r="A315" s="269" t="s">
        <v>214</v>
      </c>
      <c r="B315" s="354" t="s">
        <v>215</v>
      </c>
      <c r="C315" s="354"/>
      <c r="D315" s="354"/>
      <c r="E315" s="133" t="s">
        <v>216</v>
      </c>
      <c r="F315" s="134"/>
      <c r="G315" s="135"/>
      <c r="H315" s="135"/>
      <c r="K315" s="148"/>
      <c r="L315" s="148"/>
      <c r="M315" s="148"/>
      <c r="N315" s="148"/>
      <c r="O315" s="148"/>
    </row>
    <row r="316" spans="1:15" ht="13.8" x14ac:dyDescent="0.3">
      <c r="A316" s="136">
        <f>Presupuesto!B45</f>
        <v>38</v>
      </c>
      <c r="B316" s="353" t="str">
        <f>Presupuesto!D45</f>
        <v>Puerta de T.H.G 2" y malla #10</v>
      </c>
      <c r="C316" s="353"/>
      <c r="D316" s="353"/>
      <c r="E316" s="137" t="str">
        <f>Presupuesto!E45</f>
        <v>m2</v>
      </c>
      <c r="F316" s="354" t="s">
        <v>217</v>
      </c>
      <c r="G316" s="354"/>
      <c r="H316" s="138" t="s">
        <v>218</v>
      </c>
      <c r="K316" s="148"/>
      <c r="L316" s="148"/>
      <c r="M316" s="148"/>
      <c r="N316" s="148"/>
      <c r="O316" s="148"/>
    </row>
    <row r="317" spans="1:15" ht="13.8" x14ac:dyDescent="0.3">
      <c r="A317" s="270" t="s">
        <v>219</v>
      </c>
      <c r="B317" s="139"/>
      <c r="C317" s="139" t="s">
        <v>224</v>
      </c>
      <c r="D317" s="139" t="s">
        <v>223</v>
      </c>
      <c r="E317" s="140" t="s">
        <v>7</v>
      </c>
      <c r="F317" s="140" t="s">
        <v>221</v>
      </c>
      <c r="G317" s="141" t="s">
        <v>9</v>
      </c>
      <c r="H317" s="142" t="s">
        <v>222</v>
      </c>
      <c r="K317" s="148"/>
      <c r="L317" s="148"/>
      <c r="M317" s="148"/>
      <c r="N317" s="148"/>
      <c r="O317" s="148"/>
    </row>
    <row r="318" spans="1:15" ht="41.4" x14ac:dyDescent="0.3">
      <c r="A318" s="271" t="s">
        <v>373</v>
      </c>
      <c r="B318" s="127"/>
      <c r="C318" s="127">
        <v>2</v>
      </c>
      <c r="D318" s="143">
        <v>2.1</v>
      </c>
      <c r="E318" s="144">
        <f>C318*D318</f>
        <v>4.2</v>
      </c>
      <c r="F318" s="144">
        <v>1</v>
      </c>
      <c r="G318" s="145">
        <f>E318*F318</f>
        <v>4.2</v>
      </c>
      <c r="H318" s="146"/>
      <c r="K318" s="148"/>
      <c r="L318" s="148"/>
      <c r="M318" s="148"/>
      <c r="N318" s="148"/>
      <c r="O318" s="148"/>
    </row>
    <row r="319" spans="1:15" ht="14.4" x14ac:dyDescent="0.3">
      <c r="A319" s="355"/>
      <c r="B319" s="355"/>
      <c r="C319" s="355"/>
      <c r="D319" s="355"/>
      <c r="E319" s="355"/>
      <c r="F319" s="33" t="s">
        <v>9</v>
      </c>
      <c r="G319" s="147">
        <f>SUM(G318)</f>
        <v>4.2</v>
      </c>
      <c r="H319" s="146"/>
      <c r="K319" s="148"/>
      <c r="L319" s="148"/>
      <c r="M319" s="148"/>
      <c r="N319" s="148"/>
      <c r="O319" s="148"/>
    </row>
    <row r="320" spans="1:15" ht="14.4" x14ac:dyDescent="0.3">
      <c r="A320" s="272"/>
      <c r="B320" s="34"/>
      <c r="C320" s="34"/>
      <c r="D320" s="34"/>
      <c r="E320" s="34"/>
      <c r="F320" s="35"/>
      <c r="G320" s="143"/>
      <c r="H320" s="146"/>
      <c r="K320" s="148"/>
      <c r="L320" s="148"/>
      <c r="M320" s="148"/>
      <c r="N320" s="148"/>
      <c r="O320" s="148"/>
    </row>
    <row r="321" spans="1:19" ht="13.8" x14ac:dyDescent="0.3">
      <c r="A321" s="269" t="s">
        <v>214</v>
      </c>
      <c r="B321" s="354" t="s">
        <v>215</v>
      </c>
      <c r="C321" s="354"/>
      <c r="D321" s="354"/>
      <c r="E321" s="133" t="s">
        <v>216</v>
      </c>
      <c r="F321" s="134"/>
      <c r="G321" s="135"/>
      <c r="H321" s="135"/>
      <c r="K321" s="148"/>
      <c r="L321" s="148"/>
      <c r="M321" s="148"/>
      <c r="N321" s="148"/>
      <c r="O321" s="148"/>
    </row>
    <row r="322" spans="1:19" ht="13.8" x14ac:dyDescent="0.3">
      <c r="A322" s="136">
        <f>Presupuesto!B46</f>
        <v>39</v>
      </c>
      <c r="B322" s="353" t="str">
        <f>Presupuesto!D46</f>
        <v>Retiro y reutilización de malla galvanizada No.10</v>
      </c>
      <c r="C322" s="353"/>
      <c r="D322" s="353"/>
      <c r="E322" s="137" t="str">
        <f>Presupuesto!E46</f>
        <v>m2</v>
      </c>
      <c r="F322" s="354" t="s">
        <v>217</v>
      </c>
      <c r="G322" s="354"/>
      <c r="H322" s="138" t="s">
        <v>218</v>
      </c>
      <c r="K322" s="148"/>
      <c r="L322" s="148"/>
      <c r="M322" s="148"/>
      <c r="N322" s="148"/>
      <c r="O322" s="148"/>
    </row>
    <row r="323" spans="1:19" ht="13.8" x14ac:dyDescent="0.3">
      <c r="A323" s="270" t="s">
        <v>219</v>
      </c>
      <c r="B323" s="139"/>
      <c r="C323" s="139" t="s">
        <v>225</v>
      </c>
      <c r="D323" s="139" t="s">
        <v>223</v>
      </c>
      <c r="E323" s="140" t="s">
        <v>7</v>
      </c>
      <c r="F323" s="140" t="s">
        <v>221</v>
      </c>
      <c r="G323" s="141" t="s">
        <v>9</v>
      </c>
      <c r="H323" s="142" t="s">
        <v>222</v>
      </c>
      <c r="K323" s="148"/>
      <c r="L323" s="148"/>
      <c r="M323" s="148"/>
      <c r="N323" s="148"/>
      <c r="O323" s="148"/>
    </row>
    <row r="324" spans="1:19" ht="14.4" x14ac:dyDescent="0.3">
      <c r="A324" s="271" t="s">
        <v>332</v>
      </c>
      <c r="B324" s="127"/>
      <c r="C324" s="144">
        <v>40</v>
      </c>
      <c r="D324" s="143">
        <v>2</v>
      </c>
      <c r="E324" s="144">
        <f>C324*D324</f>
        <v>80</v>
      </c>
      <c r="F324" s="144">
        <v>1</v>
      </c>
      <c r="G324" s="145">
        <f>E324*F324</f>
        <v>80</v>
      </c>
      <c r="H324" s="146"/>
      <c r="K324" s="148"/>
      <c r="L324" s="148"/>
      <c r="M324" s="148"/>
      <c r="N324" s="148"/>
      <c r="O324" s="148"/>
    </row>
    <row r="325" spans="1:19" ht="14.4" x14ac:dyDescent="0.3">
      <c r="A325" s="355"/>
      <c r="B325" s="355"/>
      <c r="C325" s="355"/>
      <c r="D325" s="355"/>
      <c r="E325" s="355"/>
      <c r="F325" s="33" t="s">
        <v>9</v>
      </c>
      <c r="G325" s="147">
        <f>SUM(G324)</f>
        <v>80</v>
      </c>
      <c r="H325" s="146"/>
      <c r="I325" s="279"/>
      <c r="J325" s="153"/>
      <c r="K325" s="148"/>
      <c r="L325" s="148"/>
      <c r="M325" s="148"/>
      <c r="N325" s="148"/>
      <c r="O325" s="148"/>
      <c r="P325" s="148"/>
      <c r="Q325" s="148"/>
      <c r="R325" s="148"/>
      <c r="S325" s="148"/>
    </row>
    <row r="326" spans="1:19" ht="14.4" x14ac:dyDescent="0.3">
      <c r="A326" s="272"/>
      <c r="B326" s="34"/>
      <c r="C326" s="34"/>
      <c r="D326" s="34"/>
      <c r="E326" s="34"/>
      <c r="F326" s="35"/>
      <c r="G326" s="143"/>
      <c r="H326" s="146"/>
      <c r="K326" s="148"/>
      <c r="L326" s="148"/>
      <c r="M326" s="148"/>
      <c r="N326" s="148"/>
      <c r="O326" s="148"/>
    </row>
    <row r="327" spans="1:19" ht="13.8" x14ac:dyDescent="0.3">
      <c r="A327" s="269" t="s">
        <v>214</v>
      </c>
      <c r="B327" s="354" t="s">
        <v>215</v>
      </c>
      <c r="C327" s="354"/>
      <c r="D327" s="354"/>
      <c r="E327" s="133" t="s">
        <v>216</v>
      </c>
      <c r="F327" s="134"/>
      <c r="G327" s="135"/>
      <c r="H327" s="135"/>
      <c r="K327" s="148"/>
      <c r="L327" s="148"/>
      <c r="M327" s="148"/>
      <c r="N327" s="148"/>
      <c r="O327" s="148"/>
    </row>
    <row r="328" spans="1:19" ht="39" customHeight="1" x14ac:dyDescent="0.3">
      <c r="A328" s="136">
        <f>Presupuesto!B47</f>
        <v>40</v>
      </c>
      <c r="B328" s="353" t="str">
        <f>Presupuesto!D47</f>
        <v>Suministro de químico para limpieza y mantenimiento de baños portátiles de fabricación nacional</v>
      </c>
      <c r="C328" s="353"/>
      <c r="D328" s="353"/>
      <c r="E328" s="137" t="str">
        <f>Presupuesto!E47</f>
        <v>caneca</v>
      </c>
      <c r="F328" s="354" t="s">
        <v>217</v>
      </c>
      <c r="G328" s="354"/>
      <c r="H328" s="138" t="s">
        <v>218</v>
      </c>
      <c r="K328" s="148"/>
      <c r="L328" s="148"/>
      <c r="M328" s="148"/>
      <c r="N328" s="148"/>
      <c r="O328" s="148"/>
    </row>
    <row r="329" spans="1:19" ht="13.8" x14ac:dyDescent="0.3">
      <c r="A329" s="270" t="s">
        <v>219</v>
      </c>
      <c r="B329" s="139"/>
      <c r="C329" s="139"/>
      <c r="D329" s="139" t="s">
        <v>231</v>
      </c>
      <c r="E329" s="140" t="s">
        <v>7</v>
      </c>
      <c r="F329" s="140" t="s">
        <v>221</v>
      </c>
      <c r="G329" s="141" t="s">
        <v>9</v>
      </c>
      <c r="H329" s="142" t="s">
        <v>222</v>
      </c>
      <c r="K329" s="148"/>
      <c r="L329" s="148"/>
      <c r="M329" s="148"/>
      <c r="N329" s="148"/>
      <c r="O329" s="148"/>
    </row>
    <row r="330" spans="1:19" ht="39" customHeight="1" x14ac:dyDescent="0.3">
      <c r="A330" s="271" t="s">
        <v>340</v>
      </c>
      <c r="B330" s="127"/>
      <c r="C330" s="127"/>
      <c r="D330" s="143">
        <v>6</v>
      </c>
      <c r="E330" s="144">
        <f>D330</f>
        <v>6</v>
      </c>
      <c r="F330" s="144">
        <v>1</v>
      </c>
      <c r="G330" s="145">
        <f>E330*F330</f>
        <v>6</v>
      </c>
      <c r="H330" s="146"/>
      <c r="K330" s="148"/>
      <c r="L330" s="148"/>
      <c r="M330" s="148"/>
      <c r="N330" s="148"/>
      <c r="O330" s="148"/>
    </row>
    <row r="331" spans="1:19" ht="14.4" x14ac:dyDescent="0.3">
      <c r="A331" s="355"/>
      <c r="B331" s="355"/>
      <c r="C331" s="355"/>
      <c r="D331" s="355"/>
      <c r="E331" s="355"/>
      <c r="F331" s="33" t="s">
        <v>9</v>
      </c>
      <c r="G331" s="147">
        <f>SUM(G330:G330)</f>
        <v>6</v>
      </c>
      <c r="H331" s="146"/>
      <c r="K331" s="148"/>
      <c r="L331" s="148"/>
      <c r="M331" s="148"/>
      <c r="N331" s="148"/>
      <c r="O331" s="148"/>
    </row>
    <row r="332" spans="1:19" ht="14.4" x14ac:dyDescent="0.3">
      <c r="A332" s="272"/>
      <c r="B332" s="34"/>
      <c r="C332" s="34"/>
      <c r="D332" s="34"/>
      <c r="E332" s="34"/>
      <c r="F332" s="35"/>
      <c r="G332" s="143"/>
      <c r="H332" s="146"/>
      <c r="K332" s="148"/>
      <c r="L332" s="148"/>
      <c r="M332" s="148"/>
      <c r="N332" s="148"/>
      <c r="O332" s="148"/>
    </row>
    <row r="333" spans="1:19" ht="13.8" x14ac:dyDescent="0.3">
      <c r="A333" s="269" t="s">
        <v>214</v>
      </c>
      <c r="B333" s="354" t="s">
        <v>215</v>
      </c>
      <c r="C333" s="354"/>
      <c r="D333" s="354"/>
      <c r="E333" s="133" t="s">
        <v>216</v>
      </c>
      <c r="F333" s="134"/>
      <c r="G333" s="135"/>
      <c r="H333" s="135"/>
      <c r="K333" s="148"/>
      <c r="L333" s="148"/>
      <c r="M333" s="148"/>
      <c r="N333" s="148"/>
      <c r="O333" s="148"/>
    </row>
    <row r="334" spans="1:19" ht="13.8" x14ac:dyDescent="0.3">
      <c r="A334" s="136">
        <f>Presupuesto!B48</f>
        <v>41</v>
      </c>
      <c r="B334" s="353" t="str">
        <f>Presupuesto!D48</f>
        <v>Anclajes</v>
      </c>
      <c r="C334" s="353"/>
      <c r="D334" s="353"/>
      <c r="E334" s="137" t="str">
        <f>Presupuesto!E48</f>
        <v>u</v>
      </c>
      <c r="F334" s="354" t="s">
        <v>217</v>
      </c>
      <c r="G334" s="354"/>
      <c r="H334" s="138" t="s">
        <v>218</v>
      </c>
      <c r="K334" s="148"/>
      <c r="L334" s="148"/>
      <c r="M334" s="148"/>
      <c r="N334" s="148"/>
      <c r="O334" s="148"/>
    </row>
    <row r="335" spans="1:19" ht="13.8" x14ac:dyDescent="0.3">
      <c r="A335" s="270" t="s">
        <v>219</v>
      </c>
      <c r="B335" s="139"/>
      <c r="C335" s="139"/>
      <c r="D335" s="139" t="s">
        <v>231</v>
      </c>
      <c r="E335" s="140" t="s">
        <v>7</v>
      </c>
      <c r="F335" s="140" t="s">
        <v>221</v>
      </c>
      <c r="G335" s="141" t="s">
        <v>9</v>
      </c>
      <c r="H335" s="142" t="s">
        <v>222</v>
      </c>
      <c r="K335" s="148"/>
      <c r="L335" s="148"/>
      <c r="M335" s="148"/>
      <c r="N335" s="148"/>
      <c r="O335" s="148"/>
    </row>
    <row r="336" spans="1:19" ht="14.4" x14ac:dyDescent="0.3">
      <c r="A336" s="271" t="s">
        <v>401</v>
      </c>
      <c r="B336" s="127"/>
      <c r="C336" s="127"/>
      <c r="D336" s="143">
        <v>4</v>
      </c>
      <c r="E336" s="144">
        <f>D336</f>
        <v>4</v>
      </c>
      <c r="F336" s="144">
        <v>2</v>
      </c>
      <c r="G336" s="145">
        <f>E336*F336</f>
        <v>8</v>
      </c>
      <c r="H336" s="146"/>
      <c r="K336" s="148"/>
      <c r="L336" s="148"/>
      <c r="M336" s="148"/>
      <c r="N336" s="148"/>
      <c r="O336" s="148"/>
    </row>
    <row r="337" spans="1:15" ht="14.4" x14ac:dyDescent="0.3">
      <c r="A337" s="355"/>
      <c r="B337" s="355"/>
      <c r="C337" s="355"/>
      <c r="D337" s="355"/>
      <c r="E337" s="355"/>
      <c r="F337" s="33" t="s">
        <v>9</v>
      </c>
      <c r="G337" s="147">
        <f>SUM(G336:G336)</f>
        <v>8</v>
      </c>
      <c r="H337" s="146"/>
      <c r="K337" s="148"/>
      <c r="L337" s="148"/>
      <c r="M337" s="148"/>
      <c r="N337" s="148"/>
      <c r="O337" s="148"/>
    </row>
    <row r="338" spans="1:15" ht="14.4" x14ac:dyDescent="0.3">
      <c r="A338" s="272"/>
      <c r="B338" s="34"/>
      <c r="C338" s="34"/>
      <c r="D338" s="34"/>
      <c r="E338" s="34"/>
      <c r="F338" s="35"/>
      <c r="G338" s="143"/>
      <c r="H338" s="146"/>
      <c r="K338" s="148"/>
      <c r="L338" s="148"/>
      <c r="M338" s="148"/>
      <c r="N338" s="148"/>
      <c r="O338" s="148"/>
    </row>
    <row r="339" spans="1:15" ht="13.8" x14ac:dyDescent="0.3">
      <c r="A339" s="269" t="s">
        <v>214</v>
      </c>
      <c r="B339" s="354" t="s">
        <v>215</v>
      </c>
      <c r="C339" s="354"/>
      <c r="D339" s="354"/>
      <c r="E339" s="133" t="s">
        <v>216</v>
      </c>
      <c r="F339" s="134"/>
      <c r="G339" s="135"/>
      <c r="H339" s="135"/>
      <c r="K339" s="148"/>
      <c r="L339" s="148"/>
      <c r="M339" s="148"/>
      <c r="N339" s="148"/>
      <c r="O339" s="148"/>
    </row>
    <row r="340" spans="1:15" ht="13.8" x14ac:dyDescent="0.3">
      <c r="A340" s="136" t="s">
        <v>397</v>
      </c>
      <c r="B340" s="353" t="str">
        <f>Presupuesto!D49</f>
        <v>Placas de anclaje 200x200x6mm. acero A-36</v>
      </c>
      <c r="C340" s="353"/>
      <c r="D340" s="353"/>
      <c r="E340" s="137" t="str">
        <f>Presupuesto!E49</f>
        <v>u</v>
      </c>
      <c r="F340" s="354" t="s">
        <v>217</v>
      </c>
      <c r="G340" s="354"/>
      <c r="H340" s="138" t="s">
        <v>218</v>
      </c>
      <c r="K340" s="148"/>
      <c r="L340" s="148"/>
      <c r="M340" s="148"/>
      <c r="N340" s="148"/>
      <c r="O340" s="148"/>
    </row>
    <row r="341" spans="1:15" ht="13.8" x14ac:dyDescent="0.3">
      <c r="A341" s="270" t="s">
        <v>219</v>
      </c>
      <c r="B341" s="139"/>
      <c r="C341" s="139"/>
      <c r="D341" s="139" t="s">
        <v>231</v>
      </c>
      <c r="E341" s="140" t="s">
        <v>7</v>
      </c>
      <c r="F341" s="140" t="s">
        <v>221</v>
      </c>
      <c r="G341" s="141" t="s">
        <v>9</v>
      </c>
      <c r="H341" s="142" t="s">
        <v>222</v>
      </c>
      <c r="K341" s="148"/>
      <c r="L341" s="148"/>
      <c r="M341" s="148"/>
      <c r="N341" s="148"/>
      <c r="O341" s="148"/>
    </row>
    <row r="342" spans="1:15" ht="27.6" x14ac:dyDescent="0.3">
      <c r="A342" s="271" t="s">
        <v>249</v>
      </c>
      <c r="B342" s="127"/>
      <c r="C342" s="127"/>
      <c r="D342" s="143">
        <v>2</v>
      </c>
      <c r="E342" s="144">
        <f>D342</f>
        <v>2</v>
      </c>
      <c r="F342" s="144">
        <v>1</v>
      </c>
      <c r="G342" s="145">
        <f>E342*F342</f>
        <v>2</v>
      </c>
      <c r="H342" s="146"/>
      <c r="K342" s="148"/>
      <c r="L342" s="148"/>
      <c r="M342" s="148"/>
      <c r="N342" s="148"/>
      <c r="O342" s="148"/>
    </row>
    <row r="343" spans="1:15" ht="14.4" x14ac:dyDescent="0.3">
      <c r="A343" s="355"/>
      <c r="B343" s="355"/>
      <c r="C343" s="355"/>
      <c r="D343" s="355"/>
      <c r="E343" s="355"/>
      <c r="F343" s="33" t="s">
        <v>9</v>
      </c>
      <c r="G343" s="147">
        <f>SUM(G342:G342)</f>
        <v>2</v>
      </c>
      <c r="H343" s="146"/>
      <c r="K343" s="148"/>
      <c r="L343" s="148"/>
      <c r="M343" s="148"/>
      <c r="N343" s="148"/>
      <c r="O343" s="148"/>
    </row>
    <row r="344" spans="1:15" ht="14.4" x14ac:dyDescent="0.3">
      <c r="A344" s="272"/>
      <c r="B344" s="34"/>
      <c r="C344" s="34"/>
      <c r="D344" s="34"/>
      <c r="E344" s="34"/>
      <c r="F344" s="35"/>
      <c r="G344" s="143"/>
      <c r="H344" s="146"/>
      <c r="K344" s="148"/>
      <c r="L344" s="148"/>
      <c r="M344" s="148"/>
      <c r="N344" s="148"/>
      <c r="O344" s="148"/>
    </row>
    <row r="345" spans="1:15" ht="13.8" x14ac:dyDescent="0.3">
      <c r="A345" s="269" t="s">
        <v>214</v>
      </c>
      <c r="B345" s="354" t="s">
        <v>215</v>
      </c>
      <c r="C345" s="354"/>
      <c r="D345" s="354"/>
      <c r="E345" s="133" t="s">
        <v>216</v>
      </c>
      <c r="F345" s="134"/>
      <c r="G345" s="135"/>
      <c r="H345" s="135"/>
      <c r="K345" s="148"/>
      <c r="L345" s="148"/>
      <c r="M345" s="148"/>
      <c r="N345" s="148"/>
      <c r="O345" s="148"/>
    </row>
    <row r="346" spans="1:15" ht="13.8" x14ac:dyDescent="0.3">
      <c r="A346" s="136">
        <f>Presupuesto!B50</f>
        <v>43</v>
      </c>
      <c r="B346" s="353" t="str">
        <f>Presupuesto!D50</f>
        <v>Acero estructural A-36 en perfiles inc. pintura sintetica y montaje</v>
      </c>
      <c r="C346" s="353"/>
      <c r="D346" s="353"/>
      <c r="E346" s="137" t="str">
        <f>Presupuesto!E50</f>
        <v>kg</v>
      </c>
      <c r="F346" s="354" t="s">
        <v>217</v>
      </c>
      <c r="G346" s="354"/>
      <c r="H346" s="138" t="s">
        <v>218</v>
      </c>
      <c r="K346" s="148"/>
      <c r="L346" s="148"/>
      <c r="M346" s="148"/>
      <c r="N346" s="148"/>
      <c r="O346" s="148"/>
    </row>
    <row r="347" spans="1:15" ht="13.8" x14ac:dyDescent="0.3">
      <c r="A347" s="270" t="s">
        <v>219</v>
      </c>
      <c r="B347" s="139"/>
      <c r="C347" s="139" t="s">
        <v>225</v>
      </c>
      <c r="D347" s="139" t="s">
        <v>400</v>
      </c>
      <c r="E347" s="140" t="s">
        <v>7</v>
      </c>
      <c r="F347" s="140" t="s">
        <v>221</v>
      </c>
      <c r="G347" s="141" t="s">
        <v>9</v>
      </c>
      <c r="H347" s="142" t="s">
        <v>222</v>
      </c>
      <c r="K347" s="148"/>
      <c r="L347" s="148"/>
      <c r="M347" s="148"/>
      <c r="N347" s="148"/>
      <c r="O347" s="148"/>
    </row>
    <row r="348" spans="1:15" ht="14.4" x14ac:dyDescent="0.3">
      <c r="A348" s="271" t="s">
        <v>399</v>
      </c>
      <c r="B348" s="127"/>
      <c r="C348" s="127">
        <v>2.1</v>
      </c>
      <c r="D348" s="143">
        <v>4.4800000000000004</v>
      </c>
      <c r="E348" s="144">
        <f>C348*D348</f>
        <v>9.4080000000000013</v>
      </c>
      <c r="F348" s="144">
        <v>4</v>
      </c>
      <c r="G348" s="145">
        <f>E348*F348</f>
        <v>37.632000000000005</v>
      </c>
      <c r="H348" s="146"/>
      <c r="K348" s="148"/>
      <c r="L348" s="148"/>
      <c r="M348" s="148"/>
      <c r="N348" s="148"/>
      <c r="O348" s="148"/>
    </row>
    <row r="349" spans="1:15" ht="14.4" x14ac:dyDescent="0.3">
      <c r="A349" s="358"/>
      <c r="B349" s="358"/>
      <c r="C349" s="358"/>
      <c r="D349" s="358"/>
      <c r="E349" s="358"/>
      <c r="F349" s="291" t="s">
        <v>7</v>
      </c>
      <c r="G349" s="141">
        <f>SUM(G348)</f>
        <v>37.632000000000005</v>
      </c>
      <c r="H349" s="146"/>
      <c r="K349" s="148"/>
      <c r="L349" s="148"/>
      <c r="M349" s="148"/>
      <c r="N349" s="148"/>
      <c r="O349" s="148"/>
    </row>
    <row r="350" spans="1:15" ht="14.4" x14ac:dyDescent="0.3">
      <c r="A350" s="355"/>
      <c r="B350" s="355"/>
      <c r="C350" s="355"/>
      <c r="D350" s="355"/>
      <c r="E350" s="355"/>
      <c r="F350" s="33" t="s">
        <v>9</v>
      </c>
      <c r="G350" s="147">
        <f>G349*1.05</f>
        <v>39.513600000000004</v>
      </c>
      <c r="H350" s="146"/>
      <c r="K350" s="148"/>
      <c r="L350" s="148"/>
      <c r="M350" s="148"/>
      <c r="N350" s="148"/>
      <c r="O350" s="148"/>
    </row>
    <row r="351" spans="1:15" ht="14.4" x14ac:dyDescent="0.3">
      <c r="A351" s="272"/>
      <c r="B351" s="34"/>
      <c r="C351" s="34"/>
      <c r="D351" s="34"/>
      <c r="E351" s="34"/>
      <c r="F351" s="35"/>
      <c r="G351" s="143"/>
      <c r="H351" s="146"/>
      <c r="K351" s="148"/>
      <c r="L351" s="148"/>
      <c r="M351" s="148"/>
      <c r="N351" s="148"/>
      <c r="O351" s="148"/>
    </row>
    <row r="352" spans="1:15" ht="13.8" x14ac:dyDescent="0.3">
      <c r="A352" s="269" t="s">
        <v>214</v>
      </c>
      <c r="B352" s="354" t="s">
        <v>215</v>
      </c>
      <c r="C352" s="354"/>
      <c r="D352" s="354"/>
      <c r="E352" s="133" t="s">
        <v>216</v>
      </c>
      <c r="F352" s="134"/>
      <c r="G352" s="135"/>
      <c r="H352" s="135"/>
      <c r="K352" s="148"/>
      <c r="L352" s="148"/>
      <c r="M352" s="148"/>
      <c r="N352" s="148"/>
      <c r="O352" s="148"/>
    </row>
    <row r="353" spans="1:15" ht="13.8" x14ac:dyDescent="0.3">
      <c r="A353" s="136">
        <f>Presupuesto!B51</f>
        <v>44</v>
      </c>
      <c r="B353" s="353" t="str">
        <f>Presupuesto!D51</f>
        <v>Hormigón simple f´c=210 Kg/cm2 en dados</v>
      </c>
      <c r="C353" s="353"/>
      <c r="D353" s="353"/>
      <c r="E353" s="137" t="str">
        <f>Presupuesto!E51</f>
        <v>m3</v>
      </c>
      <c r="F353" s="354" t="s">
        <v>217</v>
      </c>
      <c r="G353" s="354"/>
      <c r="H353" s="138" t="s">
        <v>218</v>
      </c>
      <c r="K353" s="148"/>
      <c r="L353" s="148"/>
      <c r="M353" s="148"/>
      <c r="N353" s="148"/>
      <c r="O353" s="148"/>
    </row>
    <row r="354" spans="1:15" ht="13.8" x14ac:dyDescent="0.3">
      <c r="A354" s="270" t="s">
        <v>219</v>
      </c>
      <c r="B354" s="139" t="s">
        <v>230</v>
      </c>
      <c r="C354" s="139" t="s">
        <v>224</v>
      </c>
      <c r="D354" s="139" t="s">
        <v>223</v>
      </c>
      <c r="E354" s="140" t="s">
        <v>7</v>
      </c>
      <c r="F354" s="140" t="s">
        <v>221</v>
      </c>
      <c r="G354" s="141" t="s">
        <v>9</v>
      </c>
      <c r="H354" s="142" t="s">
        <v>222</v>
      </c>
      <c r="K354" s="148"/>
      <c r="L354" s="148"/>
      <c r="M354" s="148"/>
      <c r="N354" s="148"/>
      <c r="O354" s="148"/>
    </row>
    <row r="355" spans="1:15" ht="27.6" x14ac:dyDescent="0.3">
      <c r="A355" s="271" t="s">
        <v>398</v>
      </c>
      <c r="B355" s="127">
        <v>0.4</v>
      </c>
      <c r="C355" s="127">
        <v>0.4</v>
      </c>
      <c r="D355" s="143">
        <v>0.4</v>
      </c>
      <c r="E355" s="144">
        <f>B355*C355*D355</f>
        <v>6.4000000000000015E-2</v>
      </c>
      <c r="F355" s="144">
        <v>2</v>
      </c>
      <c r="G355" s="145">
        <f>E355*F355</f>
        <v>0.12800000000000003</v>
      </c>
      <c r="H355" s="146"/>
      <c r="K355" s="148"/>
      <c r="L355" s="148"/>
      <c r="M355" s="148"/>
      <c r="N355" s="148"/>
      <c r="O355" s="148"/>
    </row>
    <row r="356" spans="1:15" ht="14.4" x14ac:dyDescent="0.3">
      <c r="A356" s="355"/>
      <c r="B356" s="355"/>
      <c r="C356" s="355"/>
      <c r="D356" s="355"/>
      <c r="E356" s="355"/>
      <c r="F356" s="33" t="s">
        <v>9</v>
      </c>
      <c r="G356" s="147">
        <f>SUM(G355)</f>
        <v>0.12800000000000003</v>
      </c>
      <c r="H356" s="146"/>
      <c r="K356" s="148"/>
      <c r="L356" s="148"/>
      <c r="M356" s="148"/>
      <c r="N356" s="148"/>
      <c r="O356" s="148"/>
    </row>
    <row r="357" spans="1:15" ht="14.4" x14ac:dyDescent="0.3">
      <c r="A357" s="272"/>
      <c r="B357" s="34"/>
      <c r="C357" s="34"/>
      <c r="D357" s="34"/>
      <c r="E357" s="34"/>
      <c r="F357" s="35"/>
      <c r="G357" s="143"/>
      <c r="H357" s="146"/>
      <c r="K357" s="148"/>
      <c r="L357" s="148"/>
      <c r="M357" s="148"/>
      <c r="N357" s="148"/>
      <c r="O357" s="148"/>
    </row>
    <row r="358" spans="1:15" ht="13.8" x14ac:dyDescent="0.3">
      <c r="A358" s="269" t="s">
        <v>214</v>
      </c>
      <c r="B358" s="354" t="s">
        <v>215</v>
      </c>
      <c r="C358" s="354"/>
      <c r="D358" s="354"/>
      <c r="E358" s="133" t="s">
        <v>216</v>
      </c>
      <c r="F358" s="134"/>
      <c r="G358" s="135"/>
      <c r="H358" s="135"/>
      <c r="K358" s="148"/>
      <c r="L358" s="148"/>
      <c r="M358" s="148"/>
      <c r="N358" s="148"/>
      <c r="O358" s="148"/>
    </row>
    <row r="359" spans="1:15" ht="27.6" customHeight="1" x14ac:dyDescent="0.3">
      <c r="A359" s="269">
        <f>Presupuesto!B52</f>
        <v>45</v>
      </c>
      <c r="B359" s="354" t="str">
        <f>Presupuesto!D52</f>
        <v>Bermas de hormigón simple f'c=280kg/cm2; inc. encofrado y excav.</v>
      </c>
      <c r="C359" s="354"/>
      <c r="D359" s="354"/>
      <c r="E359" s="133" t="str">
        <f>Presupuesto!E52</f>
        <v>m3</v>
      </c>
      <c r="F359" s="354" t="s">
        <v>217</v>
      </c>
      <c r="G359" s="354"/>
      <c r="H359" s="138" t="s">
        <v>218</v>
      </c>
      <c r="K359" s="148"/>
      <c r="L359" s="148"/>
      <c r="M359" s="148"/>
      <c r="N359" s="148"/>
      <c r="O359" s="148"/>
    </row>
    <row r="360" spans="1:15" ht="13.8" x14ac:dyDescent="0.3">
      <c r="A360" s="270" t="s">
        <v>219</v>
      </c>
      <c r="B360" s="139" t="s">
        <v>325</v>
      </c>
      <c r="C360" s="139" t="s">
        <v>223</v>
      </c>
      <c r="D360" s="139" t="s">
        <v>225</v>
      </c>
      <c r="E360" s="140" t="s">
        <v>7</v>
      </c>
      <c r="F360" s="140" t="s">
        <v>221</v>
      </c>
      <c r="G360" s="141" t="s">
        <v>9</v>
      </c>
      <c r="H360" s="142" t="s">
        <v>222</v>
      </c>
      <c r="K360" s="148"/>
      <c r="L360" s="148"/>
      <c r="M360" s="148"/>
      <c r="N360" s="148"/>
      <c r="O360" s="148"/>
    </row>
    <row r="361" spans="1:15" ht="41.4" x14ac:dyDescent="0.3">
      <c r="A361" s="271" t="s">
        <v>405</v>
      </c>
      <c r="B361" s="127">
        <v>0.1</v>
      </c>
      <c r="C361" s="127">
        <v>0.3</v>
      </c>
      <c r="D361" s="143">
        <v>20</v>
      </c>
      <c r="E361" s="144">
        <f>B361*C361*D361</f>
        <v>0.6</v>
      </c>
      <c r="F361" s="144">
        <v>1</v>
      </c>
      <c r="G361" s="145">
        <f>E361*F361</f>
        <v>0.6</v>
      </c>
      <c r="H361" s="146"/>
      <c r="K361" s="148"/>
      <c r="L361" s="148"/>
      <c r="M361" s="148"/>
      <c r="N361" s="148"/>
      <c r="O361" s="148"/>
    </row>
    <row r="362" spans="1:15" ht="14.4" x14ac:dyDescent="0.3">
      <c r="A362" s="355"/>
      <c r="B362" s="355"/>
      <c r="C362" s="355"/>
      <c r="D362" s="355"/>
      <c r="E362" s="355"/>
      <c r="F362" s="33" t="s">
        <v>9</v>
      </c>
      <c r="G362" s="147">
        <f>G361</f>
        <v>0.6</v>
      </c>
      <c r="H362" s="146"/>
      <c r="K362" s="148"/>
      <c r="L362" s="148"/>
      <c r="M362" s="148"/>
      <c r="N362" s="148"/>
      <c r="O362" s="148"/>
    </row>
    <row r="363" spans="1:15" ht="14.4" x14ac:dyDescent="0.3">
      <c r="A363" s="34"/>
      <c r="B363" s="34"/>
      <c r="C363" s="34"/>
      <c r="D363" s="34"/>
      <c r="E363" s="34"/>
      <c r="F363" s="35"/>
      <c r="G363" s="143"/>
      <c r="H363" s="146"/>
      <c r="K363" s="148"/>
      <c r="L363" s="148"/>
      <c r="M363" s="148"/>
      <c r="N363" s="148"/>
      <c r="O363" s="148"/>
    </row>
    <row r="364" spans="1:15" ht="13.8" x14ac:dyDescent="0.3">
      <c r="A364" s="269" t="s">
        <v>214</v>
      </c>
      <c r="B364" s="354" t="s">
        <v>215</v>
      </c>
      <c r="C364" s="354"/>
      <c r="D364" s="354"/>
      <c r="E364" s="261" t="s">
        <v>216</v>
      </c>
      <c r="F364" s="134"/>
      <c r="G364" s="135"/>
      <c r="H364" s="135"/>
      <c r="K364" s="148"/>
      <c r="L364" s="148"/>
      <c r="M364" s="148"/>
      <c r="N364" s="148"/>
      <c r="O364" s="148"/>
    </row>
    <row r="365" spans="1:15" ht="13.8" x14ac:dyDescent="0.3">
      <c r="A365" s="269">
        <f>Presupuesto!B53</f>
        <v>46</v>
      </c>
      <c r="B365" s="354" t="str">
        <f>Presupuesto!D53</f>
        <v>Tablero de distribución de 4 tacos G.E.</v>
      </c>
      <c r="C365" s="354"/>
      <c r="D365" s="354"/>
      <c r="E365" s="261" t="str">
        <f>Presupuesto!E53</f>
        <v>u</v>
      </c>
      <c r="F365" s="354" t="s">
        <v>217</v>
      </c>
      <c r="G365" s="354"/>
      <c r="H365" s="138" t="s">
        <v>218</v>
      </c>
      <c r="K365" s="148"/>
      <c r="L365" s="148"/>
      <c r="M365" s="148"/>
      <c r="N365" s="148"/>
      <c r="O365" s="148"/>
    </row>
    <row r="366" spans="1:15" ht="13.8" x14ac:dyDescent="0.3">
      <c r="A366" s="270" t="s">
        <v>219</v>
      </c>
      <c r="B366" s="139"/>
      <c r="C366" s="139"/>
      <c r="D366" s="139" t="s">
        <v>231</v>
      </c>
      <c r="E366" s="140" t="s">
        <v>7</v>
      </c>
      <c r="F366" s="140" t="s">
        <v>221</v>
      </c>
      <c r="G366" s="141" t="s">
        <v>9</v>
      </c>
      <c r="H366" s="142" t="s">
        <v>222</v>
      </c>
      <c r="K366" s="148"/>
      <c r="L366" s="148"/>
      <c r="M366" s="148"/>
      <c r="N366" s="148"/>
      <c r="O366" s="148"/>
    </row>
    <row r="367" spans="1:15" ht="27.6" x14ac:dyDescent="0.3">
      <c r="A367" s="271" t="s">
        <v>512</v>
      </c>
      <c r="B367" s="127"/>
      <c r="C367" s="127"/>
      <c r="D367" s="143">
        <v>1</v>
      </c>
      <c r="E367" s="144">
        <f>D367</f>
        <v>1</v>
      </c>
      <c r="F367" s="144">
        <v>1</v>
      </c>
      <c r="G367" s="145">
        <f>E367*F367</f>
        <v>1</v>
      </c>
      <c r="H367" s="146"/>
      <c r="K367" s="148"/>
      <c r="L367" s="148"/>
      <c r="M367" s="148"/>
      <c r="N367" s="148"/>
      <c r="O367" s="148"/>
    </row>
    <row r="368" spans="1:15" ht="14.4" x14ac:dyDescent="0.3">
      <c r="A368" s="355"/>
      <c r="B368" s="355"/>
      <c r="C368" s="355"/>
      <c r="D368" s="355"/>
      <c r="E368" s="355"/>
      <c r="F368" s="33" t="s">
        <v>9</v>
      </c>
      <c r="G368" s="147">
        <f>SUM(G367:G367)</f>
        <v>1</v>
      </c>
      <c r="H368" s="146"/>
      <c r="K368" s="148"/>
      <c r="L368" s="148"/>
      <c r="M368" s="148"/>
      <c r="N368" s="148"/>
      <c r="O368" s="148"/>
    </row>
    <row r="369" spans="1:15" ht="14.4" x14ac:dyDescent="0.3">
      <c r="A369" s="34"/>
      <c r="B369" s="34"/>
      <c r="C369" s="34"/>
      <c r="D369" s="34"/>
      <c r="E369" s="34"/>
      <c r="F369" s="35"/>
      <c r="G369" s="143"/>
      <c r="H369" s="146"/>
      <c r="K369" s="148"/>
      <c r="L369" s="148"/>
      <c r="M369" s="148"/>
      <c r="N369" s="148"/>
      <c r="O369" s="148"/>
    </row>
    <row r="370" spans="1:15" ht="13.8" x14ac:dyDescent="0.3">
      <c r="A370" s="269" t="s">
        <v>214</v>
      </c>
      <c r="B370" s="354" t="s">
        <v>215</v>
      </c>
      <c r="C370" s="354"/>
      <c r="D370" s="354"/>
      <c r="E370" s="261" t="s">
        <v>216</v>
      </c>
      <c r="F370" s="134"/>
      <c r="G370" s="135"/>
      <c r="H370" s="135"/>
      <c r="K370" s="148"/>
      <c r="L370" s="148"/>
      <c r="M370" s="148"/>
      <c r="N370" s="148"/>
      <c r="O370" s="148"/>
    </row>
    <row r="371" spans="1:15" ht="13.8" x14ac:dyDescent="0.3">
      <c r="A371" s="136">
        <f>Presupuesto!B54</f>
        <v>47</v>
      </c>
      <c r="B371" s="353" t="str">
        <f>Presupuesto!D54</f>
        <v>Tablero medidor</v>
      </c>
      <c r="C371" s="353"/>
      <c r="D371" s="353"/>
      <c r="E371" s="260" t="str">
        <f>Presupuesto!E54</f>
        <v>u</v>
      </c>
      <c r="F371" s="354" t="s">
        <v>217</v>
      </c>
      <c r="G371" s="354"/>
      <c r="H371" s="138" t="s">
        <v>218</v>
      </c>
      <c r="K371" s="148"/>
      <c r="L371" s="148"/>
      <c r="M371" s="148"/>
      <c r="N371" s="148"/>
      <c r="O371" s="148"/>
    </row>
    <row r="372" spans="1:15" ht="13.8" x14ac:dyDescent="0.3">
      <c r="A372" s="270" t="s">
        <v>219</v>
      </c>
      <c r="B372" s="139"/>
      <c r="C372" s="139"/>
      <c r="D372" s="139" t="s">
        <v>231</v>
      </c>
      <c r="E372" s="140" t="s">
        <v>7</v>
      </c>
      <c r="F372" s="140" t="s">
        <v>221</v>
      </c>
      <c r="G372" s="141" t="s">
        <v>9</v>
      </c>
      <c r="H372" s="142" t="s">
        <v>222</v>
      </c>
      <c r="K372" s="148"/>
      <c r="L372" s="148"/>
      <c r="M372" s="148"/>
      <c r="N372" s="148"/>
      <c r="O372" s="148"/>
    </row>
    <row r="373" spans="1:15" ht="27.6" x14ac:dyDescent="0.3">
      <c r="A373" s="271" t="s">
        <v>433</v>
      </c>
      <c r="B373" s="127"/>
      <c r="C373" s="127"/>
      <c r="D373" s="143">
        <v>1</v>
      </c>
      <c r="E373" s="144">
        <f>D373</f>
        <v>1</v>
      </c>
      <c r="F373" s="144">
        <v>1</v>
      </c>
      <c r="G373" s="145">
        <f>E373*F373</f>
        <v>1</v>
      </c>
      <c r="H373" s="146"/>
      <c r="K373" s="148"/>
      <c r="L373" s="148"/>
      <c r="M373" s="148"/>
      <c r="N373" s="148"/>
      <c r="O373" s="148"/>
    </row>
    <row r="374" spans="1:15" ht="14.4" x14ac:dyDescent="0.3">
      <c r="A374" s="355"/>
      <c r="B374" s="355"/>
      <c r="C374" s="355"/>
      <c r="D374" s="355"/>
      <c r="E374" s="355"/>
      <c r="F374" s="33" t="s">
        <v>9</v>
      </c>
      <c r="G374" s="147">
        <f>SUM(G373:G373)</f>
        <v>1</v>
      </c>
      <c r="H374" s="146"/>
      <c r="K374" s="148"/>
      <c r="L374" s="148"/>
      <c r="M374" s="148"/>
      <c r="N374" s="148"/>
      <c r="O374" s="148"/>
    </row>
    <row r="375" spans="1:15" ht="14.4" x14ac:dyDescent="0.3">
      <c r="A375" s="34"/>
      <c r="B375" s="34"/>
      <c r="C375" s="34"/>
      <c r="D375" s="34"/>
      <c r="E375" s="34"/>
      <c r="F375" s="35"/>
      <c r="G375" s="143"/>
      <c r="H375" s="146"/>
      <c r="K375" s="148"/>
      <c r="L375" s="148"/>
      <c r="M375" s="148"/>
      <c r="N375" s="148"/>
      <c r="O375" s="148"/>
    </row>
    <row r="376" spans="1:15" ht="13.8" x14ac:dyDescent="0.3">
      <c r="A376" s="269" t="s">
        <v>214</v>
      </c>
      <c r="B376" s="354" t="s">
        <v>215</v>
      </c>
      <c r="C376" s="354"/>
      <c r="D376" s="354"/>
      <c r="E376" s="285" t="s">
        <v>216</v>
      </c>
      <c r="F376" s="134"/>
      <c r="G376" s="135"/>
      <c r="H376" s="135"/>
      <c r="K376" s="148"/>
      <c r="L376" s="148"/>
      <c r="M376" s="148"/>
      <c r="N376" s="148"/>
      <c r="O376" s="148"/>
    </row>
    <row r="377" spans="1:15" ht="13.8" x14ac:dyDescent="0.3">
      <c r="A377" s="136">
        <f>Presupuesto!B55</f>
        <v>48</v>
      </c>
      <c r="B377" s="353" t="str">
        <f>Presupuesto!D55</f>
        <v>Rasanteo y conformación de taludes a mano</v>
      </c>
      <c r="C377" s="353"/>
      <c r="D377" s="353"/>
      <c r="E377" s="284" t="str">
        <f>Presupuesto!E55</f>
        <v>m2</v>
      </c>
      <c r="F377" s="354" t="s">
        <v>217</v>
      </c>
      <c r="G377" s="354"/>
      <c r="H377" s="138" t="s">
        <v>218</v>
      </c>
      <c r="K377" s="148"/>
      <c r="L377" s="148"/>
      <c r="M377" s="148"/>
      <c r="N377" s="148"/>
      <c r="O377" s="148"/>
    </row>
    <row r="378" spans="1:15" ht="13.8" x14ac:dyDescent="0.3">
      <c r="A378" s="270" t="s">
        <v>219</v>
      </c>
      <c r="B378" s="139"/>
      <c r="C378" s="139"/>
      <c r="D378" s="139" t="s">
        <v>220</v>
      </c>
      <c r="E378" s="140" t="s">
        <v>7</v>
      </c>
      <c r="F378" s="140" t="s">
        <v>221</v>
      </c>
      <c r="G378" s="141" t="s">
        <v>9</v>
      </c>
      <c r="H378" s="142" t="s">
        <v>222</v>
      </c>
      <c r="K378" s="148"/>
      <c r="L378" s="148"/>
      <c r="M378" s="148"/>
      <c r="N378" s="148"/>
      <c r="O378" s="148"/>
    </row>
    <row r="379" spans="1:15" ht="27.6" x14ac:dyDescent="0.3">
      <c r="A379" s="276" t="s">
        <v>563</v>
      </c>
      <c r="B379" s="34"/>
      <c r="C379" s="34"/>
      <c r="D379" s="143">
        <v>172.27</v>
      </c>
      <c r="E379" s="143">
        <f>D379</f>
        <v>172.27</v>
      </c>
      <c r="F379" s="143">
        <v>1</v>
      </c>
      <c r="G379" s="347">
        <f>E379*F379</f>
        <v>172.27</v>
      </c>
      <c r="H379" s="146"/>
      <c r="K379" s="148"/>
      <c r="L379" s="148"/>
      <c r="M379" s="148"/>
      <c r="N379" s="148"/>
      <c r="O379" s="148"/>
    </row>
    <row r="380" spans="1:15" ht="14.4" x14ac:dyDescent="0.3">
      <c r="A380" s="355"/>
      <c r="B380" s="355"/>
      <c r="C380" s="355"/>
      <c r="D380" s="355"/>
      <c r="E380" s="355"/>
      <c r="F380" s="33" t="s">
        <v>9</v>
      </c>
      <c r="G380" s="147">
        <f>SUM(G379:G379)</f>
        <v>172.27</v>
      </c>
      <c r="H380" s="146"/>
      <c r="K380" s="148"/>
      <c r="L380" s="148"/>
      <c r="M380" s="148"/>
      <c r="N380" s="148"/>
      <c r="O380" s="148"/>
    </row>
    <row r="381" spans="1:15" ht="14.4" x14ac:dyDescent="0.3">
      <c r="A381" s="34"/>
      <c r="B381" s="34"/>
      <c r="C381" s="34"/>
      <c r="D381" s="34"/>
      <c r="E381" s="34"/>
      <c r="F381" s="35"/>
      <c r="G381" s="143"/>
      <c r="H381" s="146"/>
      <c r="K381" s="148"/>
      <c r="L381" s="148"/>
      <c r="M381" s="148"/>
      <c r="N381" s="148"/>
      <c r="O381" s="148"/>
    </row>
    <row r="382" spans="1:15" ht="13.8" x14ac:dyDescent="0.3">
      <c r="A382" s="269" t="s">
        <v>214</v>
      </c>
      <c r="B382" s="354" t="s">
        <v>215</v>
      </c>
      <c r="C382" s="354"/>
      <c r="D382" s="354"/>
      <c r="E382" s="292" t="s">
        <v>216</v>
      </c>
      <c r="F382" s="134"/>
      <c r="G382" s="135"/>
      <c r="H382" s="135"/>
      <c r="K382" s="148"/>
      <c r="L382" s="148"/>
      <c r="M382" s="148"/>
      <c r="N382" s="148"/>
      <c r="O382" s="148"/>
    </row>
    <row r="383" spans="1:15" ht="26.4" customHeight="1" x14ac:dyDescent="0.3">
      <c r="A383" s="269">
        <f>Presupuesto!B56</f>
        <v>49</v>
      </c>
      <c r="B383" s="354" t="str">
        <f>Presupuesto!D56</f>
        <v>Picado y corchado de paredes para instalaciones eléctricas e hidráulicas</v>
      </c>
      <c r="C383" s="354"/>
      <c r="D383" s="354"/>
      <c r="E383" s="292" t="str">
        <f>Presupuesto!E56</f>
        <v>m</v>
      </c>
      <c r="F383" s="354" t="s">
        <v>217</v>
      </c>
      <c r="G383" s="354"/>
      <c r="H383" s="138" t="s">
        <v>218</v>
      </c>
      <c r="K383" s="148"/>
      <c r="L383" s="148"/>
      <c r="M383" s="148"/>
      <c r="N383" s="148"/>
      <c r="O383" s="148"/>
    </row>
    <row r="384" spans="1:15" ht="13.8" x14ac:dyDescent="0.3">
      <c r="A384" s="270" t="s">
        <v>219</v>
      </c>
      <c r="B384" s="139"/>
      <c r="C384" s="139"/>
      <c r="D384" s="139" t="s">
        <v>225</v>
      </c>
      <c r="E384" s="140" t="s">
        <v>7</v>
      </c>
      <c r="F384" s="140" t="s">
        <v>221</v>
      </c>
      <c r="G384" s="141" t="s">
        <v>9</v>
      </c>
      <c r="H384" s="142" t="s">
        <v>222</v>
      </c>
      <c r="K384" s="148"/>
      <c r="L384" s="148"/>
      <c r="M384" s="148"/>
      <c r="N384" s="148"/>
      <c r="O384" s="148"/>
    </row>
    <row r="385" spans="1:15" ht="44.4" customHeight="1" x14ac:dyDescent="0.3">
      <c r="A385" s="271" t="s">
        <v>514</v>
      </c>
      <c r="B385" s="127"/>
      <c r="C385" s="127"/>
      <c r="D385" s="143">
        <f>((2.58+1.45)*17)+((2.3+1.45)*18)+(0.7*35)</f>
        <v>160.51</v>
      </c>
      <c r="E385" s="144">
        <f>D385</f>
        <v>160.51</v>
      </c>
      <c r="F385" s="144">
        <v>1</v>
      </c>
      <c r="G385" s="145">
        <f>E385*F385</f>
        <v>160.51</v>
      </c>
      <c r="H385" s="146"/>
      <c r="K385" s="148"/>
      <c r="L385" s="148"/>
      <c r="M385" s="148"/>
      <c r="N385" s="148"/>
      <c r="O385" s="148"/>
    </row>
    <row r="386" spans="1:15" ht="27.6" x14ac:dyDescent="0.3">
      <c r="A386" s="271" t="s">
        <v>480</v>
      </c>
      <c r="B386" s="127"/>
      <c r="C386" s="127"/>
      <c r="D386" s="143">
        <f>G200+(1.2*17)+(1.2*2)</f>
        <v>49.07</v>
      </c>
      <c r="E386" s="144">
        <f>D386</f>
        <v>49.07</v>
      </c>
      <c r="F386" s="144">
        <v>1</v>
      </c>
      <c r="G386" s="145">
        <f>E386*F386</f>
        <v>49.07</v>
      </c>
      <c r="H386" s="146"/>
      <c r="K386" s="148"/>
      <c r="L386" s="148"/>
      <c r="M386" s="148"/>
      <c r="N386" s="148"/>
      <c r="O386" s="148"/>
    </row>
    <row r="387" spans="1:15" ht="14.4" x14ac:dyDescent="0.3">
      <c r="A387" s="355"/>
      <c r="B387" s="355"/>
      <c r="C387" s="355"/>
      <c r="D387" s="355"/>
      <c r="E387" s="355"/>
      <c r="F387" s="33" t="s">
        <v>9</v>
      </c>
      <c r="G387" s="147">
        <f>SUM(G385:G386)</f>
        <v>209.57999999999998</v>
      </c>
      <c r="H387" s="146"/>
      <c r="K387" s="148"/>
      <c r="L387" s="148"/>
      <c r="M387" s="148"/>
      <c r="N387" s="148"/>
      <c r="O387" s="148"/>
    </row>
    <row r="388" spans="1:15" ht="14.4" x14ac:dyDescent="0.3">
      <c r="A388" s="34"/>
      <c r="B388" s="34"/>
      <c r="C388" s="34"/>
      <c r="D388" s="34"/>
      <c r="E388" s="34"/>
      <c r="F388" s="35"/>
      <c r="G388" s="143"/>
      <c r="H388" s="146"/>
      <c r="K388" s="148"/>
      <c r="L388" s="148"/>
      <c r="M388" s="148"/>
      <c r="N388" s="148"/>
      <c r="O388" s="148"/>
    </row>
    <row r="389" spans="1:15" ht="13.8" x14ac:dyDescent="0.3">
      <c r="A389" s="269" t="s">
        <v>214</v>
      </c>
      <c r="B389" s="354" t="s">
        <v>215</v>
      </c>
      <c r="C389" s="354"/>
      <c r="D389" s="354"/>
      <c r="E389" s="299" t="s">
        <v>216</v>
      </c>
      <c r="F389" s="134"/>
      <c r="G389" s="135"/>
      <c r="H389" s="135"/>
      <c r="K389" s="148"/>
      <c r="L389" s="148"/>
      <c r="M389" s="148"/>
      <c r="N389" s="148"/>
      <c r="O389" s="148"/>
    </row>
    <row r="390" spans="1:15" ht="13.8" x14ac:dyDescent="0.3">
      <c r="A390" s="136">
        <f>Presupuesto!B57</f>
        <v>50</v>
      </c>
      <c r="B390" s="353" t="str">
        <f>Presupuesto!D57</f>
        <v>Cable THHn AWG -10</v>
      </c>
      <c r="C390" s="353"/>
      <c r="D390" s="353"/>
      <c r="E390" s="298" t="str">
        <f>Presupuesto!E57</f>
        <v>m</v>
      </c>
      <c r="F390" s="354" t="s">
        <v>217</v>
      </c>
      <c r="G390" s="354"/>
      <c r="H390" s="138" t="s">
        <v>218</v>
      </c>
      <c r="K390" s="148"/>
      <c r="L390" s="148"/>
      <c r="M390" s="148"/>
      <c r="N390" s="148"/>
      <c r="O390" s="148"/>
    </row>
    <row r="391" spans="1:15" ht="13.8" x14ac:dyDescent="0.3">
      <c r="A391" s="270" t="s">
        <v>219</v>
      </c>
      <c r="B391" s="139"/>
      <c r="C391" s="139"/>
      <c r="D391" s="139" t="s">
        <v>225</v>
      </c>
      <c r="E391" s="140" t="s">
        <v>7</v>
      </c>
      <c r="F391" s="140" t="s">
        <v>221</v>
      </c>
      <c r="G391" s="141" t="s">
        <v>9</v>
      </c>
      <c r="H391" s="142" t="s">
        <v>222</v>
      </c>
      <c r="K391" s="148"/>
      <c r="L391" s="148"/>
      <c r="M391" s="148"/>
      <c r="N391" s="148"/>
      <c r="O391" s="148"/>
    </row>
    <row r="392" spans="1:15" ht="14.4" x14ac:dyDescent="0.3">
      <c r="A392" s="271" t="s">
        <v>545</v>
      </c>
      <c r="B392" s="127"/>
      <c r="C392" s="127"/>
      <c r="D392" s="143">
        <f>3.15+3.34+9.55+9.65+15.95+16.14+22.35+22.54+28.68+(0.42*9)</f>
        <v>135.13</v>
      </c>
      <c r="E392" s="144">
        <f>D392</f>
        <v>135.13</v>
      </c>
      <c r="F392" s="144">
        <v>2</v>
      </c>
      <c r="G392" s="145">
        <f>E392*F392</f>
        <v>270.26</v>
      </c>
      <c r="H392" s="146"/>
    </row>
    <row r="393" spans="1:15" ht="14.4" x14ac:dyDescent="0.3">
      <c r="A393" s="271" t="s">
        <v>546</v>
      </c>
      <c r="B393" s="127"/>
      <c r="C393" s="127"/>
      <c r="D393" s="144">
        <f>3.14+3.34+9.55+9.75+15.95+16.14+22.35+22.54+(0.42*8)</f>
        <v>106.11999999999999</v>
      </c>
      <c r="E393" s="144">
        <f t="shared" ref="E393:E395" si="23">D393</f>
        <v>106.11999999999999</v>
      </c>
      <c r="F393" s="144">
        <v>2</v>
      </c>
      <c r="G393" s="145">
        <f t="shared" ref="G393:G395" si="24">E393*F393</f>
        <v>212.23999999999998</v>
      </c>
      <c r="H393" s="146"/>
    </row>
    <row r="394" spans="1:15" ht="14.4" x14ac:dyDescent="0.3">
      <c r="A394" s="271" t="s">
        <v>547</v>
      </c>
      <c r="B394" s="127"/>
      <c r="C394" s="127"/>
      <c r="D394" s="144">
        <f>0.3+1.05+2.9+4.25+5.92+9.3+10.65+12.5+13.85</f>
        <v>60.72</v>
      </c>
      <c r="E394" s="144">
        <f t="shared" si="23"/>
        <v>60.72</v>
      </c>
      <c r="F394" s="144">
        <v>2</v>
      </c>
      <c r="G394" s="145">
        <f t="shared" si="24"/>
        <v>121.44</v>
      </c>
      <c r="H394" s="146"/>
    </row>
    <row r="395" spans="1:15" ht="14.4" x14ac:dyDescent="0.3">
      <c r="A395" s="271" t="s">
        <v>548</v>
      </c>
      <c r="B395" s="127"/>
      <c r="C395" s="127"/>
      <c r="D395" s="144">
        <f>0.29+1.06+2.91+4.26+5.93+9.31+10.66</f>
        <v>34.42</v>
      </c>
      <c r="E395" s="144">
        <f t="shared" si="23"/>
        <v>34.42</v>
      </c>
      <c r="F395" s="144">
        <v>2</v>
      </c>
      <c r="G395" s="145">
        <f t="shared" si="24"/>
        <v>68.84</v>
      </c>
      <c r="H395" s="146"/>
    </row>
    <row r="396" spans="1:15" ht="14.4" x14ac:dyDescent="0.3">
      <c r="A396" s="271" t="s">
        <v>549</v>
      </c>
      <c r="B396" s="127"/>
      <c r="C396" s="127"/>
      <c r="D396" s="144">
        <f>'Memoria de Rubros'!G255</f>
        <v>127.06</v>
      </c>
      <c r="E396" s="144">
        <f>D396</f>
        <v>127.06</v>
      </c>
      <c r="F396" s="144">
        <v>1</v>
      </c>
      <c r="G396" s="145">
        <f>E396*F396</f>
        <v>127.06</v>
      </c>
      <c r="H396" s="146"/>
      <c r="L396" s="156"/>
    </row>
    <row r="397" spans="1:15" ht="14.4" x14ac:dyDescent="0.3">
      <c r="A397" s="271" t="s">
        <v>555</v>
      </c>
      <c r="B397" s="127"/>
      <c r="C397" s="127"/>
      <c r="D397" s="144">
        <v>8</v>
      </c>
      <c r="E397" s="144">
        <f>D397</f>
        <v>8</v>
      </c>
      <c r="F397" s="144">
        <v>1</v>
      </c>
      <c r="G397" s="145">
        <f>E397*F397</f>
        <v>8</v>
      </c>
      <c r="H397" s="146"/>
      <c r="L397" s="156"/>
    </row>
    <row r="398" spans="1:15" ht="14.4" x14ac:dyDescent="0.3">
      <c r="A398" s="355"/>
      <c r="B398" s="355"/>
      <c r="C398" s="355"/>
      <c r="D398" s="355"/>
      <c r="E398" s="355"/>
      <c r="F398" s="33" t="s">
        <v>9</v>
      </c>
      <c r="G398" s="147">
        <f>SUM(G392:G397)</f>
        <v>807.84000000000015</v>
      </c>
      <c r="H398" s="146"/>
      <c r="K398" s="148"/>
      <c r="L398" s="148"/>
      <c r="M398" s="148"/>
      <c r="N398" s="148"/>
      <c r="O398" s="148"/>
    </row>
    <row r="399" spans="1:15" ht="14.4" x14ac:dyDescent="0.3">
      <c r="A399" s="34"/>
      <c r="B399" s="34"/>
      <c r="C399" s="34"/>
      <c r="D399" s="34"/>
      <c r="E399" s="34"/>
      <c r="F399" s="35"/>
      <c r="G399" s="143"/>
      <c r="H399" s="146"/>
      <c r="K399" s="148"/>
      <c r="L399" s="148"/>
      <c r="M399" s="148"/>
      <c r="N399" s="148"/>
      <c r="O399" s="148"/>
    </row>
    <row r="400" spans="1:15" ht="13.8" x14ac:dyDescent="0.3">
      <c r="A400" s="269" t="s">
        <v>214</v>
      </c>
      <c r="B400" s="354" t="s">
        <v>215</v>
      </c>
      <c r="C400" s="354"/>
      <c r="D400" s="354"/>
      <c r="E400" s="299" t="s">
        <v>216</v>
      </c>
      <c r="F400" s="134"/>
      <c r="G400" s="135"/>
      <c r="H400" s="135"/>
      <c r="K400" s="148"/>
      <c r="L400" s="148"/>
      <c r="M400" s="148"/>
      <c r="N400" s="148"/>
      <c r="O400" s="148"/>
    </row>
    <row r="401" spans="1:15" ht="13.8" x14ac:dyDescent="0.3">
      <c r="A401" s="136">
        <f>Presupuesto!B58</f>
        <v>51</v>
      </c>
      <c r="B401" s="353" t="str">
        <f>Presupuesto!D58</f>
        <v>Manguera de polietileno d=1" ref. instalaciones eléctricas</v>
      </c>
      <c r="C401" s="353"/>
      <c r="D401" s="353"/>
      <c r="E401" s="298" t="str">
        <f>Presupuesto!E58</f>
        <v>m</v>
      </c>
      <c r="F401" s="354" t="s">
        <v>217</v>
      </c>
      <c r="G401" s="354"/>
      <c r="H401" s="138" t="s">
        <v>218</v>
      </c>
      <c r="K401" s="148"/>
      <c r="L401" s="148"/>
      <c r="M401" s="148"/>
      <c r="N401" s="148"/>
      <c r="O401" s="148"/>
    </row>
    <row r="402" spans="1:15" ht="13.8" x14ac:dyDescent="0.3">
      <c r="A402" s="270" t="s">
        <v>219</v>
      </c>
      <c r="B402" s="139"/>
      <c r="C402" s="139"/>
      <c r="D402" s="139" t="s">
        <v>225</v>
      </c>
      <c r="E402" s="140" t="s">
        <v>7</v>
      </c>
      <c r="F402" s="140" t="s">
        <v>221</v>
      </c>
      <c r="G402" s="141" t="s">
        <v>9</v>
      </c>
      <c r="H402" s="142" t="s">
        <v>222</v>
      </c>
      <c r="K402" s="148"/>
      <c r="L402" s="148"/>
      <c r="M402" s="148"/>
      <c r="N402" s="148"/>
      <c r="O402" s="148"/>
    </row>
    <row r="403" spans="1:15" ht="14.4" x14ac:dyDescent="0.3">
      <c r="A403" s="271" t="s">
        <v>515</v>
      </c>
      <c r="B403" s="127"/>
      <c r="C403" s="127"/>
      <c r="D403" s="143">
        <f>60.61+33.42+(0.42*2)</f>
        <v>94.87</v>
      </c>
      <c r="E403" s="144">
        <f>D403</f>
        <v>94.87</v>
      </c>
      <c r="F403" s="144">
        <v>1</v>
      </c>
      <c r="G403" s="145">
        <f>E403*F403</f>
        <v>94.87</v>
      </c>
      <c r="H403" s="146"/>
      <c r="K403" s="148"/>
      <c r="L403" s="148"/>
      <c r="M403" s="148"/>
      <c r="N403" s="148"/>
      <c r="O403" s="148"/>
    </row>
    <row r="404" spans="1:15" ht="14.4" x14ac:dyDescent="0.3">
      <c r="A404" s="355"/>
      <c r="B404" s="355"/>
      <c r="C404" s="355"/>
      <c r="D404" s="355"/>
      <c r="E404" s="355"/>
      <c r="F404" s="33" t="s">
        <v>9</v>
      </c>
      <c r="G404" s="147">
        <f>SUM(G403:G403)</f>
        <v>94.87</v>
      </c>
      <c r="H404" s="146"/>
      <c r="K404" s="148"/>
      <c r="L404" s="148"/>
      <c r="M404" s="148"/>
      <c r="N404" s="148"/>
      <c r="O404" s="148"/>
    </row>
    <row r="405" spans="1:15" ht="14.4" x14ac:dyDescent="0.3">
      <c r="A405" s="34"/>
      <c r="B405" s="34"/>
      <c r="C405" s="34"/>
      <c r="D405" s="34"/>
      <c r="E405" s="34"/>
      <c r="F405" s="35"/>
      <c r="G405" s="143"/>
      <c r="H405" s="146"/>
      <c r="K405" s="148"/>
      <c r="L405" s="148"/>
      <c r="M405" s="148"/>
      <c r="N405" s="148"/>
      <c r="O405" s="148"/>
    </row>
    <row r="406" spans="1:15" ht="13.8" x14ac:dyDescent="0.3">
      <c r="A406" s="269" t="s">
        <v>214</v>
      </c>
      <c r="B406" s="354" t="s">
        <v>215</v>
      </c>
      <c r="C406" s="354"/>
      <c r="D406" s="354"/>
      <c r="E406" s="299" t="s">
        <v>216</v>
      </c>
      <c r="F406" s="134"/>
      <c r="G406" s="135"/>
      <c r="H406" s="135"/>
      <c r="K406" s="148"/>
      <c r="L406" s="148"/>
      <c r="M406" s="148"/>
      <c r="N406" s="148"/>
      <c r="O406" s="148"/>
    </row>
    <row r="407" spans="1:15" ht="25.2" customHeight="1" x14ac:dyDescent="0.3">
      <c r="A407" s="136">
        <f>Presupuesto!B59</f>
        <v>52</v>
      </c>
      <c r="B407" s="353" t="str">
        <f>Presupuesto!D59</f>
        <v>Relleno compactado a máquina con material de excavación</v>
      </c>
      <c r="C407" s="353"/>
      <c r="D407" s="353"/>
      <c r="E407" s="298" t="str">
        <f>Presupuesto!E59</f>
        <v>m3</v>
      </c>
      <c r="F407" s="354" t="s">
        <v>217</v>
      </c>
      <c r="G407" s="354"/>
      <c r="H407" s="138" t="s">
        <v>218</v>
      </c>
      <c r="K407" s="148"/>
      <c r="L407" s="148"/>
      <c r="M407" s="148"/>
      <c r="N407" s="148"/>
      <c r="O407" s="148"/>
    </row>
    <row r="408" spans="1:15" ht="41.4" x14ac:dyDescent="0.3">
      <c r="A408" s="270" t="s">
        <v>219</v>
      </c>
      <c r="B408" s="139"/>
      <c r="C408" s="139" t="s">
        <v>520</v>
      </c>
      <c r="D408" s="139" t="s">
        <v>225</v>
      </c>
      <c r="E408" s="140" t="s">
        <v>7</v>
      </c>
      <c r="F408" s="140" t="s">
        <v>221</v>
      </c>
      <c r="G408" s="141" t="s">
        <v>9</v>
      </c>
      <c r="H408" s="142" t="s">
        <v>222</v>
      </c>
      <c r="K408" s="148"/>
      <c r="L408" s="148"/>
      <c r="M408" s="148"/>
      <c r="N408" s="148"/>
      <c r="O408" s="148"/>
    </row>
    <row r="409" spans="1:15" ht="14.4" x14ac:dyDescent="0.3">
      <c r="A409" s="271" t="s">
        <v>531</v>
      </c>
      <c r="B409" s="127"/>
      <c r="C409" s="127">
        <v>7.2599999999999998E-2</v>
      </c>
      <c r="D409" s="143">
        <v>5.4</v>
      </c>
      <c r="E409" s="144">
        <f>C409*D409</f>
        <v>0.39204</v>
      </c>
      <c r="F409" s="144">
        <v>1</v>
      </c>
      <c r="G409" s="145">
        <f>E409*F409</f>
        <v>0.39204</v>
      </c>
      <c r="H409" s="146"/>
      <c r="K409" s="148"/>
      <c r="L409" s="148"/>
      <c r="M409" s="148"/>
      <c r="N409" s="148"/>
      <c r="O409" s="148"/>
    </row>
    <row r="410" spans="1:15" ht="14.4" x14ac:dyDescent="0.3">
      <c r="A410" s="271" t="s">
        <v>532</v>
      </c>
      <c r="B410" s="127"/>
      <c r="C410" s="127">
        <v>8.5000000000000006E-3</v>
      </c>
      <c r="D410" s="143">
        <v>5.4</v>
      </c>
      <c r="E410" s="144">
        <f>C410*D410</f>
        <v>4.5900000000000003E-2</v>
      </c>
      <c r="F410" s="144">
        <v>1</v>
      </c>
      <c r="G410" s="145">
        <f t="shared" ref="G410:G419" si="25">E410*F410</f>
        <v>4.5900000000000003E-2</v>
      </c>
      <c r="H410" s="146"/>
      <c r="K410" s="148"/>
      <c r="L410" s="148"/>
      <c r="M410" s="148"/>
      <c r="N410" s="148"/>
      <c r="O410" s="148"/>
    </row>
    <row r="411" spans="1:15" ht="14.4" x14ac:dyDescent="0.3">
      <c r="A411" s="271" t="s">
        <v>543</v>
      </c>
      <c r="B411" s="127"/>
      <c r="C411" s="127">
        <v>1.7962</v>
      </c>
      <c r="D411" s="143">
        <v>1.8</v>
      </c>
      <c r="E411" s="144">
        <f t="shared" ref="E411:E419" si="26">C411*D411</f>
        <v>3.2331600000000003</v>
      </c>
      <c r="F411" s="144">
        <v>1</v>
      </c>
      <c r="G411" s="145">
        <f t="shared" si="25"/>
        <v>3.2331600000000003</v>
      </c>
      <c r="H411" s="146"/>
      <c r="K411" s="148"/>
      <c r="L411" s="148"/>
      <c r="M411" s="148"/>
      <c r="N411" s="148"/>
      <c r="O411" s="148"/>
    </row>
    <row r="412" spans="1:15" ht="14.4" x14ac:dyDescent="0.3">
      <c r="A412" s="271" t="s">
        <v>535</v>
      </c>
      <c r="B412" s="127"/>
      <c r="C412" s="127">
        <v>0.28050000000000003</v>
      </c>
      <c r="D412" s="143">
        <v>8.3000000000000007</v>
      </c>
      <c r="E412" s="144">
        <f t="shared" si="26"/>
        <v>2.3281500000000004</v>
      </c>
      <c r="F412" s="144">
        <v>1</v>
      </c>
      <c r="G412" s="145">
        <f t="shared" si="25"/>
        <v>2.3281500000000004</v>
      </c>
      <c r="H412" s="146"/>
      <c r="K412" s="148"/>
      <c r="L412" s="148"/>
      <c r="M412" s="148"/>
      <c r="N412" s="148"/>
      <c r="O412" s="148"/>
    </row>
    <row r="413" spans="1:15" ht="14.4" x14ac:dyDescent="0.3">
      <c r="A413" s="271" t="s">
        <v>536</v>
      </c>
      <c r="B413" s="127"/>
      <c r="C413" s="127">
        <v>0.71730000000000005</v>
      </c>
      <c r="D413" s="143">
        <v>8.3000000000000007</v>
      </c>
      <c r="E413" s="144">
        <f t="shared" si="26"/>
        <v>5.953590000000001</v>
      </c>
      <c r="F413" s="144">
        <v>1</v>
      </c>
      <c r="G413" s="145">
        <f t="shared" si="25"/>
        <v>5.953590000000001</v>
      </c>
      <c r="H413" s="146"/>
      <c r="K413" s="148"/>
      <c r="L413" s="148"/>
      <c r="M413" s="148"/>
      <c r="N413" s="148"/>
      <c r="O413" s="148"/>
    </row>
    <row r="414" spans="1:15" ht="14.4" x14ac:dyDescent="0.3">
      <c r="A414" s="271" t="s">
        <v>537</v>
      </c>
      <c r="B414" s="127"/>
      <c r="C414" s="127">
        <v>0.28270000000000001</v>
      </c>
      <c r="D414" s="143">
        <v>8.3000000000000007</v>
      </c>
      <c r="E414" s="144">
        <f t="shared" si="26"/>
        <v>2.3464100000000001</v>
      </c>
      <c r="F414" s="144">
        <v>1</v>
      </c>
      <c r="G414" s="145">
        <f t="shared" si="25"/>
        <v>2.3464100000000001</v>
      </c>
      <c r="H414" s="146"/>
      <c r="K414" s="148"/>
      <c r="L414" s="148"/>
      <c r="M414" s="148"/>
      <c r="N414" s="148"/>
      <c r="O414" s="148"/>
    </row>
    <row r="415" spans="1:15" ht="14.4" x14ac:dyDescent="0.3">
      <c r="A415" s="271" t="s">
        <v>538</v>
      </c>
      <c r="B415" s="127"/>
      <c r="C415" s="127">
        <v>0.4</v>
      </c>
      <c r="D415" s="143">
        <v>8.3000000000000007</v>
      </c>
      <c r="E415" s="144">
        <f t="shared" si="26"/>
        <v>3.3200000000000003</v>
      </c>
      <c r="F415" s="144">
        <v>1</v>
      </c>
      <c r="G415" s="145">
        <f t="shared" si="25"/>
        <v>3.3200000000000003</v>
      </c>
      <c r="H415" s="146"/>
      <c r="K415" s="148"/>
      <c r="L415" s="148"/>
      <c r="M415" s="148"/>
      <c r="N415" s="148"/>
      <c r="O415" s="148"/>
    </row>
    <row r="416" spans="1:15" ht="14.4" x14ac:dyDescent="0.3">
      <c r="A416" s="271" t="s">
        <v>539</v>
      </c>
      <c r="B416" s="127"/>
      <c r="C416" s="127">
        <v>0.70289999999999997</v>
      </c>
      <c r="D416" s="143">
        <v>8.3000000000000007</v>
      </c>
      <c r="E416" s="144">
        <f t="shared" si="26"/>
        <v>5.8340700000000005</v>
      </c>
      <c r="F416" s="144">
        <v>1</v>
      </c>
      <c r="G416" s="145">
        <f t="shared" si="25"/>
        <v>5.8340700000000005</v>
      </c>
      <c r="H416" s="146"/>
      <c r="K416" s="148"/>
      <c r="L416" s="148"/>
      <c r="M416" s="148"/>
      <c r="N416" s="148"/>
      <c r="O416" s="148"/>
    </row>
    <row r="417" spans="1:15" ht="14.4" x14ac:dyDescent="0.3">
      <c r="A417" s="271" t="s">
        <v>540</v>
      </c>
      <c r="B417" s="127"/>
      <c r="C417" s="127">
        <v>0.31709999999999999</v>
      </c>
      <c r="D417" s="143">
        <v>8.3000000000000007</v>
      </c>
      <c r="E417" s="144">
        <f t="shared" si="26"/>
        <v>2.6319300000000001</v>
      </c>
      <c r="F417" s="144">
        <v>1</v>
      </c>
      <c r="G417" s="145">
        <f t="shared" si="25"/>
        <v>2.6319300000000001</v>
      </c>
      <c r="H417" s="146"/>
      <c r="K417" s="148"/>
      <c r="L417" s="148"/>
      <c r="M417" s="148"/>
      <c r="N417" s="148"/>
      <c r="O417" s="148"/>
    </row>
    <row r="418" spans="1:15" ht="14.4" x14ac:dyDescent="0.3">
      <c r="A418" s="271" t="s">
        <v>541</v>
      </c>
      <c r="B418" s="127"/>
      <c r="C418" s="127">
        <v>1.3282</v>
      </c>
      <c r="D418" s="143">
        <v>8.3000000000000007</v>
      </c>
      <c r="E418" s="144">
        <f t="shared" si="26"/>
        <v>11.024060000000002</v>
      </c>
      <c r="F418" s="144">
        <v>1</v>
      </c>
      <c r="G418" s="145">
        <f t="shared" si="25"/>
        <v>11.024060000000002</v>
      </c>
      <c r="H418" s="146"/>
      <c r="K418" s="148"/>
      <c r="L418" s="148"/>
      <c r="M418" s="148"/>
      <c r="N418" s="148"/>
      <c r="O418" s="148"/>
    </row>
    <row r="419" spans="1:15" ht="14.4" x14ac:dyDescent="0.3">
      <c r="A419" s="271" t="s">
        <v>542</v>
      </c>
      <c r="B419" s="127"/>
      <c r="C419" s="127">
        <v>0.54290000000000005</v>
      </c>
      <c r="D419" s="143">
        <v>8.3000000000000007</v>
      </c>
      <c r="E419" s="144">
        <f t="shared" si="26"/>
        <v>4.5060700000000011</v>
      </c>
      <c r="F419" s="144">
        <v>1</v>
      </c>
      <c r="G419" s="145">
        <f t="shared" si="25"/>
        <v>4.5060700000000011</v>
      </c>
      <c r="H419" s="146"/>
      <c r="K419" s="148"/>
      <c r="L419" s="148"/>
      <c r="M419" s="148"/>
      <c r="N419" s="148"/>
      <c r="O419" s="148"/>
    </row>
    <row r="420" spans="1:15" ht="14.4" x14ac:dyDescent="0.3">
      <c r="A420" s="355"/>
      <c r="B420" s="355"/>
      <c r="C420" s="355"/>
      <c r="D420" s="355"/>
      <c r="E420" s="355"/>
      <c r="F420" s="33" t="s">
        <v>9</v>
      </c>
      <c r="G420" s="147">
        <f>SUM(G409:G419)</f>
        <v>41.615380000000009</v>
      </c>
      <c r="H420" s="146"/>
      <c r="K420" s="148"/>
      <c r="L420" s="148"/>
      <c r="M420" s="148"/>
      <c r="N420" s="148"/>
      <c r="O420" s="148"/>
    </row>
    <row r="421" spans="1:15" ht="14.4" x14ac:dyDescent="0.3">
      <c r="A421" s="34"/>
      <c r="B421" s="34"/>
      <c r="C421" s="34"/>
      <c r="D421" s="34"/>
      <c r="E421" s="34"/>
      <c r="F421" s="35"/>
      <c r="G421" s="143"/>
      <c r="H421" s="146"/>
      <c r="K421" s="148"/>
      <c r="L421" s="148"/>
      <c r="M421" s="148"/>
      <c r="N421" s="148"/>
      <c r="O421" s="148"/>
    </row>
    <row r="422" spans="1:15" ht="13.8" x14ac:dyDescent="0.3">
      <c r="A422" s="269" t="s">
        <v>214</v>
      </c>
      <c r="B422" s="354" t="s">
        <v>215</v>
      </c>
      <c r="C422" s="354"/>
      <c r="D422" s="354"/>
      <c r="E422" s="299" t="s">
        <v>216</v>
      </c>
      <c r="F422" s="134"/>
      <c r="G422" s="135"/>
      <c r="H422" s="135"/>
      <c r="K422" s="148"/>
      <c r="L422" s="148"/>
      <c r="M422" s="148"/>
      <c r="N422" s="148"/>
      <c r="O422" s="148"/>
    </row>
    <row r="423" spans="1:15" ht="13.8" x14ac:dyDescent="0.3">
      <c r="A423" s="136">
        <f>Presupuesto!B60</f>
        <v>53</v>
      </c>
      <c r="B423" s="353" t="str">
        <f>Presupuesto!D60</f>
        <v>Tablero de distribución de 12 tacos G.E.</v>
      </c>
      <c r="C423" s="353"/>
      <c r="D423" s="353"/>
      <c r="E423" s="298" t="str">
        <f>Presupuesto!E60</f>
        <v>u</v>
      </c>
      <c r="F423" s="354" t="s">
        <v>217</v>
      </c>
      <c r="G423" s="354"/>
      <c r="H423" s="138" t="s">
        <v>218</v>
      </c>
      <c r="K423" s="148"/>
      <c r="L423" s="148"/>
      <c r="M423" s="148"/>
      <c r="N423" s="148"/>
      <c r="O423" s="148"/>
    </row>
    <row r="424" spans="1:15" ht="13.8" x14ac:dyDescent="0.3">
      <c r="A424" s="270" t="s">
        <v>219</v>
      </c>
      <c r="B424" s="139"/>
      <c r="C424" s="139"/>
      <c r="D424" s="139" t="s">
        <v>231</v>
      </c>
      <c r="E424" s="140" t="s">
        <v>7</v>
      </c>
      <c r="F424" s="140" t="s">
        <v>221</v>
      </c>
      <c r="G424" s="141" t="s">
        <v>9</v>
      </c>
      <c r="H424" s="142" t="s">
        <v>222</v>
      </c>
      <c r="K424" s="148"/>
      <c r="L424" s="148"/>
      <c r="M424" s="148"/>
      <c r="N424" s="148"/>
      <c r="O424" s="148"/>
    </row>
    <row r="425" spans="1:15" ht="27.6" x14ac:dyDescent="0.3">
      <c r="A425" s="271" t="s">
        <v>513</v>
      </c>
      <c r="B425" s="127"/>
      <c r="C425" s="127"/>
      <c r="D425" s="143">
        <v>4</v>
      </c>
      <c r="E425" s="144">
        <f>D425</f>
        <v>4</v>
      </c>
      <c r="F425" s="144">
        <v>1</v>
      </c>
      <c r="G425" s="145">
        <f>E425*F425</f>
        <v>4</v>
      </c>
      <c r="H425" s="146"/>
      <c r="K425" s="148"/>
      <c r="L425" s="148"/>
      <c r="M425" s="148"/>
      <c r="N425" s="148"/>
      <c r="O425" s="148"/>
    </row>
    <row r="426" spans="1:15" ht="14.4" x14ac:dyDescent="0.3">
      <c r="A426" s="355"/>
      <c r="B426" s="355"/>
      <c r="C426" s="355"/>
      <c r="D426" s="355"/>
      <c r="E426" s="355"/>
      <c r="F426" s="33" t="s">
        <v>9</v>
      </c>
      <c r="G426" s="147">
        <f>SUM(G425:G425)</f>
        <v>4</v>
      </c>
      <c r="H426" s="146"/>
      <c r="K426" s="148"/>
      <c r="L426" s="148"/>
      <c r="M426" s="148"/>
      <c r="N426" s="148"/>
      <c r="O426" s="148"/>
    </row>
    <row r="427" spans="1:15" x14ac:dyDescent="0.25">
      <c r="K427" s="148"/>
      <c r="L427" s="148"/>
      <c r="M427" s="148"/>
      <c r="N427" s="148"/>
      <c r="O427" s="148"/>
    </row>
    <row r="428" spans="1:15" ht="13.8" x14ac:dyDescent="0.3">
      <c r="A428" s="269" t="s">
        <v>214</v>
      </c>
      <c r="B428" s="354" t="s">
        <v>215</v>
      </c>
      <c r="C428" s="354"/>
      <c r="D428" s="354"/>
      <c r="E428" s="133" t="s">
        <v>216</v>
      </c>
      <c r="F428" s="134"/>
      <c r="G428" s="135"/>
      <c r="H428" s="135"/>
      <c r="K428" s="148"/>
      <c r="L428" s="148"/>
      <c r="M428" s="148"/>
      <c r="N428" s="148"/>
      <c r="O428" s="148"/>
    </row>
    <row r="429" spans="1:15" ht="13.8" x14ac:dyDescent="0.3">
      <c r="A429" s="136">
        <f>Presupuesto!B61</f>
        <v>54</v>
      </c>
      <c r="B429" s="353" t="str">
        <f>Presupuesto!D61</f>
        <v>Limpieza final de la obra</v>
      </c>
      <c r="C429" s="353"/>
      <c r="D429" s="353"/>
      <c r="E429" s="137" t="str">
        <f>Presupuesto!E61</f>
        <v>m2</v>
      </c>
      <c r="F429" s="354" t="s">
        <v>217</v>
      </c>
      <c r="G429" s="354"/>
      <c r="H429" s="138" t="s">
        <v>218</v>
      </c>
      <c r="K429" s="148"/>
      <c r="L429" s="148"/>
      <c r="M429" s="148"/>
      <c r="N429" s="148"/>
      <c r="O429" s="148"/>
    </row>
    <row r="430" spans="1:15" ht="13.8" x14ac:dyDescent="0.3">
      <c r="A430" s="270" t="s">
        <v>219</v>
      </c>
      <c r="B430" s="139"/>
      <c r="C430" s="139"/>
      <c r="D430" s="139" t="s">
        <v>220</v>
      </c>
      <c r="E430" s="140" t="s">
        <v>7</v>
      </c>
      <c r="F430" s="140" t="s">
        <v>221</v>
      </c>
      <c r="G430" s="141" t="s">
        <v>9</v>
      </c>
      <c r="H430" s="142" t="s">
        <v>222</v>
      </c>
      <c r="K430" s="148"/>
      <c r="L430" s="148"/>
      <c r="M430" s="148"/>
      <c r="N430" s="148"/>
      <c r="O430" s="148"/>
    </row>
    <row r="431" spans="1:15" ht="27.6" x14ac:dyDescent="0.3">
      <c r="A431" s="271" t="s">
        <v>249</v>
      </c>
      <c r="B431" s="127"/>
      <c r="C431" s="127"/>
      <c r="D431" s="143">
        <v>175.505</v>
      </c>
      <c r="E431" s="144">
        <f>D431</f>
        <v>175.505</v>
      </c>
      <c r="F431" s="144">
        <v>1</v>
      </c>
      <c r="G431" s="145">
        <f>E431*F431</f>
        <v>175.505</v>
      </c>
      <c r="H431" s="146"/>
      <c r="K431" s="148"/>
      <c r="L431" s="148"/>
      <c r="M431" s="148"/>
      <c r="N431" s="148"/>
      <c r="O431" s="148"/>
    </row>
    <row r="432" spans="1:15" ht="27.6" x14ac:dyDescent="0.3">
      <c r="A432" s="271" t="s">
        <v>250</v>
      </c>
      <c r="B432" s="127"/>
      <c r="C432" s="127"/>
      <c r="D432" s="143">
        <v>92.4</v>
      </c>
      <c r="E432" s="144">
        <f>D432</f>
        <v>92.4</v>
      </c>
      <c r="F432" s="144">
        <v>1</v>
      </c>
      <c r="G432" s="145">
        <f>E432*F432</f>
        <v>92.4</v>
      </c>
      <c r="H432" s="146"/>
      <c r="K432" s="148"/>
      <c r="L432" s="148"/>
      <c r="M432" s="148"/>
      <c r="N432" s="148"/>
      <c r="O432" s="148"/>
    </row>
    <row r="433" spans="1:15" ht="14.4" x14ac:dyDescent="0.3">
      <c r="A433" s="355"/>
      <c r="B433" s="355"/>
      <c r="C433" s="355"/>
      <c r="D433" s="355"/>
      <c r="E433" s="355"/>
      <c r="F433" s="33" t="s">
        <v>9</v>
      </c>
      <c r="G433" s="147">
        <f>SUM(G431:G432)</f>
        <v>267.90499999999997</v>
      </c>
      <c r="H433" s="146"/>
      <c r="K433" s="148"/>
      <c r="L433" s="148"/>
      <c r="M433" s="148"/>
      <c r="N433" s="148"/>
      <c r="O433" s="148"/>
    </row>
    <row r="434" spans="1:15" x14ac:dyDescent="0.25">
      <c r="K434" s="148"/>
      <c r="L434" s="148"/>
      <c r="M434" s="148"/>
      <c r="N434" s="148"/>
      <c r="O434" s="148"/>
    </row>
  </sheetData>
  <mergeCells count="218">
    <mergeCell ref="B382:D382"/>
    <mergeCell ref="B383:D383"/>
    <mergeCell ref="F383:G383"/>
    <mergeCell ref="A387:E387"/>
    <mergeCell ref="B370:D370"/>
    <mergeCell ref="B371:D371"/>
    <mergeCell ref="F371:G371"/>
    <mergeCell ref="A374:E374"/>
    <mergeCell ref="B364:D364"/>
    <mergeCell ref="B365:D365"/>
    <mergeCell ref="F365:G365"/>
    <mergeCell ref="A368:E368"/>
    <mergeCell ref="A380:E380"/>
    <mergeCell ref="B377:D377"/>
    <mergeCell ref="F377:G377"/>
    <mergeCell ref="B376:D376"/>
    <mergeCell ref="A362:E362"/>
    <mergeCell ref="A349:E349"/>
    <mergeCell ref="B333:D333"/>
    <mergeCell ref="B334:D334"/>
    <mergeCell ref="F334:G334"/>
    <mergeCell ref="A337:E337"/>
    <mergeCell ref="B339:D339"/>
    <mergeCell ref="B340:D340"/>
    <mergeCell ref="F340:G340"/>
    <mergeCell ref="A343:E343"/>
    <mergeCell ref="B345:D345"/>
    <mergeCell ref="B346:D346"/>
    <mergeCell ref="F346:G346"/>
    <mergeCell ref="A350:E350"/>
    <mergeCell ref="B352:D352"/>
    <mergeCell ref="B353:D353"/>
    <mergeCell ref="F353:G353"/>
    <mergeCell ref="A356:E356"/>
    <mergeCell ref="B359:D359"/>
    <mergeCell ref="F359:G359"/>
    <mergeCell ref="B429:D429"/>
    <mergeCell ref="F429:G429"/>
    <mergeCell ref="A433:E433"/>
    <mergeCell ref="A301:E301"/>
    <mergeCell ref="B303:D303"/>
    <mergeCell ref="B304:D304"/>
    <mergeCell ref="F304:G304"/>
    <mergeCell ref="A307:E307"/>
    <mergeCell ref="B428:D428"/>
    <mergeCell ref="B309:D309"/>
    <mergeCell ref="B310:D310"/>
    <mergeCell ref="F310:G310"/>
    <mergeCell ref="A313:E313"/>
    <mergeCell ref="B315:D315"/>
    <mergeCell ref="B316:D316"/>
    <mergeCell ref="F316:G316"/>
    <mergeCell ref="A319:E319"/>
    <mergeCell ref="B321:D321"/>
    <mergeCell ref="B322:D322"/>
    <mergeCell ref="F322:G322"/>
    <mergeCell ref="A325:E325"/>
    <mergeCell ref="B327:D327"/>
    <mergeCell ref="B328:D328"/>
    <mergeCell ref="F328:G328"/>
    <mergeCell ref="A294:E294"/>
    <mergeCell ref="B296:D296"/>
    <mergeCell ref="B297:D297"/>
    <mergeCell ref="F297:G297"/>
    <mergeCell ref="A280:E280"/>
    <mergeCell ref="B282:D282"/>
    <mergeCell ref="B283:D283"/>
    <mergeCell ref="F283:G283"/>
    <mergeCell ref="A287:E287"/>
    <mergeCell ref="B290:D290"/>
    <mergeCell ref="B289:D289"/>
    <mergeCell ref="F290:G290"/>
    <mergeCell ref="B270:D270"/>
    <mergeCell ref="F270:G270"/>
    <mergeCell ref="A273:E273"/>
    <mergeCell ref="B275:D275"/>
    <mergeCell ref="B276:D276"/>
    <mergeCell ref="F276:G276"/>
    <mergeCell ref="A261:E261"/>
    <mergeCell ref="B263:D263"/>
    <mergeCell ref="B264:D264"/>
    <mergeCell ref="F264:G264"/>
    <mergeCell ref="A267:E267"/>
    <mergeCell ref="B269:D269"/>
    <mergeCell ref="B243:D243"/>
    <mergeCell ref="F243:G243"/>
    <mergeCell ref="A247:E247"/>
    <mergeCell ref="B257:D257"/>
    <mergeCell ref="B258:D258"/>
    <mergeCell ref="F258:G258"/>
    <mergeCell ref="A239:E239"/>
    <mergeCell ref="B242:D242"/>
    <mergeCell ref="B249:D249"/>
    <mergeCell ref="B250:D250"/>
    <mergeCell ref="F250:G250"/>
    <mergeCell ref="A255:E255"/>
    <mergeCell ref="B228:D228"/>
    <mergeCell ref="F228:G228"/>
    <mergeCell ref="A232:E232"/>
    <mergeCell ref="B234:D234"/>
    <mergeCell ref="B235:D235"/>
    <mergeCell ref="F235:G235"/>
    <mergeCell ref="A218:E218"/>
    <mergeCell ref="B220:D220"/>
    <mergeCell ref="B221:D221"/>
    <mergeCell ref="F221:G221"/>
    <mergeCell ref="A225:E225"/>
    <mergeCell ref="B227:D227"/>
    <mergeCell ref="B212:D212"/>
    <mergeCell ref="F212:G212"/>
    <mergeCell ref="A192:E192"/>
    <mergeCell ref="B194:D194"/>
    <mergeCell ref="B195:D195"/>
    <mergeCell ref="F195:G195"/>
    <mergeCell ref="A200:E200"/>
    <mergeCell ref="B202:D202"/>
    <mergeCell ref="A164:E164"/>
    <mergeCell ref="B186:D186"/>
    <mergeCell ref="F186:G186"/>
    <mergeCell ref="A183:E183"/>
    <mergeCell ref="B203:D203"/>
    <mergeCell ref="F203:G203"/>
    <mergeCell ref="A209:E209"/>
    <mergeCell ref="B211:D211"/>
    <mergeCell ref="B167:D167"/>
    <mergeCell ref="B176:D176"/>
    <mergeCell ref="B177:D177"/>
    <mergeCell ref="F177:G177"/>
    <mergeCell ref="B168:D168"/>
    <mergeCell ref="F168:G168"/>
    <mergeCell ref="A174:E174"/>
    <mergeCell ref="B112:D112"/>
    <mergeCell ref="B113:D113"/>
    <mergeCell ref="F113:G113"/>
    <mergeCell ref="A117:E117"/>
    <mergeCell ref="B127:D127"/>
    <mergeCell ref="B128:D128"/>
    <mergeCell ref="F128:G128"/>
    <mergeCell ref="A131:E131"/>
    <mergeCell ref="B139:D139"/>
    <mergeCell ref="B133:D133"/>
    <mergeCell ref="B134:D134"/>
    <mergeCell ref="F134:G134"/>
    <mergeCell ref="A137:E137"/>
    <mergeCell ref="B160:D160"/>
    <mergeCell ref="B119:D119"/>
    <mergeCell ref="B120:D120"/>
    <mergeCell ref="F120:G120"/>
    <mergeCell ref="A125:E125"/>
    <mergeCell ref="B140:D140"/>
    <mergeCell ref="B151:D151"/>
    <mergeCell ref="B152:D152"/>
    <mergeCell ref="F152:G152"/>
    <mergeCell ref="A158:E158"/>
    <mergeCell ref="B161:D161"/>
    <mergeCell ref="F161:G161"/>
    <mergeCell ref="B94:D94"/>
    <mergeCell ref="B88:D88"/>
    <mergeCell ref="B89:D89"/>
    <mergeCell ref="B17:D17"/>
    <mergeCell ref="B18:D18"/>
    <mergeCell ref="F18:G18"/>
    <mergeCell ref="A1:H1"/>
    <mergeCell ref="B2:D2"/>
    <mergeCell ref="B3:D3"/>
    <mergeCell ref="F3:G3"/>
    <mergeCell ref="A8:E8"/>
    <mergeCell ref="B10:D10"/>
    <mergeCell ref="B11:D11"/>
    <mergeCell ref="F11:G11"/>
    <mergeCell ref="A14:E14"/>
    <mergeCell ref="F89:G89"/>
    <mergeCell ref="A92:E92"/>
    <mergeCell ref="B59:D59"/>
    <mergeCell ref="F59:G59"/>
    <mergeCell ref="A62:E62"/>
    <mergeCell ref="B64:D64"/>
    <mergeCell ref="A110:E110"/>
    <mergeCell ref="B65:D65"/>
    <mergeCell ref="F65:G65"/>
    <mergeCell ref="A23:E23"/>
    <mergeCell ref="B25:D25"/>
    <mergeCell ref="B358:D358"/>
    <mergeCell ref="B26:D26"/>
    <mergeCell ref="F26:G26"/>
    <mergeCell ref="A56:E56"/>
    <mergeCell ref="B58:D58"/>
    <mergeCell ref="B95:D95"/>
    <mergeCell ref="F95:G95"/>
    <mergeCell ref="A102:E102"/>
    <mergeCell ref="B104:D104"/>
    <mergeCell ref="B105:D105"/>
    <mergeCell ref="F105:G105"/>
    <mergeCell ref="A78:E78"/>
    <mergeCell ref="B80:D80"/>
    <mergeCell ref="B81:D81"/>
    <mergeCell ref="F81:G81"/>
    <mergeCell ref="A86:E86"/>
    <mergeCell ref="A331:E331"/>
    <mergeCell ref="F140:G140"/>
    <mergeCell ref="A149:E149"/>
    <mergeCell ref="B185:D185"/>
    <mergeCell ref="B407:D407"/>
    <mergeCell ref="F407:G407"/>
    <mergeCell ref="A420:E420"/>
    <mergeCell ref="B422:D422"/>
    <mergeCell ref="B423:D423"/>
    <mergeCell ref="F423:G423"/>
    <mergeCell ref="A426:E426"/>
    <mergeCell ref="B389:D389"/>
    <mergeCell ref="B390:D390"/>
    <mergeCell ref="F390:G390"/>
    <mergeCell ref="A398:E398"/>
    <mergeCell ref="B400:D400"/>
    <mergeCell ref="B401:D401"/>
    <mergeCell ref="F401:G401"/>
    <mergeCell ref="A404:E404"/>
    <mergeCell ref="B406:D406"/>
  </mergeCells>
  <pageMargins left="0.54" right="0.5" top="0.56000000000000005" bottom="1" header="0.26" footer="0"/>
  <pageSetup paperSize="9" orientation="portrait" verticalDpi="0" r:id="rId1"/>
  <headerFooter alignWithMargins="0">
    <oddHeader>&amp;R- InterPro -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activeCell="B4" sqref="B4:B6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94">
        <f>Presupuesto!B15</f>
        <v>8</v>
      </c>
      <c r="C3" s="92"/>
      <c r="D3" s="92"/>
      <c r="E3" s="37"/>
      <c r="F3" s="93"/>
      <c r="G3" s="93"/>
    </row>
    <row r="4" spans="1:7" x14ac:dyDescent="0.25">
      <c r="A4" s="37" t="s">
        <v>13</v>
      </c>
      <c r="B4" s="254" t="str">
        <f>Presupuesto!C15</f>
        <v>510121</v>
      </c>
      <c r="C4" s="187"/>
      <c r="D4" s="187"/>
      <c r="E4" s="187"/>
      <c r="F4" s="187"/>
      <c r="G4" s="187"/>
    </row>
    <row r="5" spans="1:7" x14ac:dyDescent="0.25">
      <c r="A5" s="37" t="s">
        <v>14</v>
      </c>
      <c r="B5" s="254" t="str">
        <f>Presupuesto!D15</f>
        <v>Pozos de revisión bajos 0-2m</v>
      </c>
      <c r="C5" s="187"/>
      <c r="D5" s="187"/>
      <c r="E5" s="187"/>
      <c r="F5" s="187"/>
      <c r="G5" s="187"/>
    </row>
    <row r="6" spans="1:7" x14ac:dyDescent="0.25">
      <c r="A6" s="37" t="s">
        <v>15</v>
      </c>
      <c r="B6" s="254" t="str">
        <f>Presupuesto!E15</f>
        <v>u</v>
      </c>
      <c r="C6" s="187"/>
      <c r="D6" s="187"/>
      <c r="E6" s="187"/>
      <c r="F6" s="187"/>
      <c r="G6" s="187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 t="s">
        <v>79</v>
      </c>
      <c r="B12" s="49" t="s">
        <v>80</v>
      </c>
      <c r="C12" s="50" t="s">
        <v>81</v>
      </c>
      <c r="D12" s="51" t="s">
        <v>106</v>
      </c>
      <c r="E12" s="52"/>
      <c r="F12" s="51"/>
      <c r="G12" s="52">
        <f>ROUND(0.05*G37,2)</f>
        <v>3.47</v>
      </c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v>3.47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x14ac:dyDescent="0.25">
      <c r="A17" s="167" t="s">
        <v>107</v>
      </c>
      <c r="B17" s="175" t="s">
        <v>108</v>
      </c>
      <c r="C17" s="167" t="s">
        <v>109</v>
      </c>
      <c r="D17" s="169">
        <v>5.61</v>
      </c>
      <c r="E17" s="170">
        <v>7.15</v>
      </c>
      <c r="F17" s="176"/>
      <c r="G17" s="170">
        <f>ROUND(D17*E17,2)</f>
        <v>40.11</v>
      </c>
    </row>
    <row r="18" spans="1:7" x14ac:dyDescent="0.25">
      <c r="A18" s="177" t="s">
        <v>112</v>
      </c>
      <c r="B18" s="178" t="s">
        <v>113</v>
      </c>
      <c r="C18" s="177" t="s">
        <v>43</v>
      </c>
      <c r="D18" s="179">
        <v>0.20200000000000001</v>
      </c>
      <c r="E18" s="180">
        <v>15</v>
      </c>
      <c r="F18" s="181"/>
      <c r="G18" s="180">
        <f t="shared" ref="G18:G24" si="0">ROUND(D18*E18,2)</f>
        <v>3.03</v>
      </c>
    </row>
    <row r="19" spans="1:7" x14ac:dyDescent="0.25">
      <c r="A19" s="177" t="s">
        <v>110</v>
      </c>
      <c r="B19" s="178" t="s">
        <v>111</v>
      </c>
      <c r="C19" s="177" t="s">
        <v>43</v>
      </c>
      <c r="D19" s="179">
        <v>0.34</v>
      </c>
      <c r="E19" s="180">
        <v>16.5</v>
      </c>
      <c r="F19" s="181"/>
      <c r="G19" s="180">
        <f t="shared" si="0"/>
        <v>5.61</v>
      </c>
    </row>
    <row r="20" spans="1:7" x14ac:dyDescent="0.25">
      <c r="A20" s="177" t="s">
        <v>119</v>
      </c>
      <c r="B20" s="178" t="s">
        <v>120</v>
      </c>
      <c r="C20" s="177" t="s">
        <v>121</v>
      </c>
      <c r="D20" s="179">
        <v>80</v>
      </c>
      <c r="E20" s="247">
        <v>1.0300000000000001E-3</v>
      </c>
      <c r="F20" s="181"/>
      <c r="G20" s="180">
        <f t="shared" si="0"/>
        <v>0.08</v>
      </c>
    </row>
    <row r="21" spans="1:7" x14ac:dyDescent="0.25">
      <c r="A21" s="177" t="s">
        <v>114</v>
      </c>
      <c r="B21" s="178" t="s">
        <v>115</v>
      </c>
      <c r="C21" s="177" t="s">
        <v>43</v>
      </c>
      <c r="D21" s="179">
        <v>0.33</v>
      </c>
      <c r="E21" s="180">
        <v>15</v>
      </c>
      <c r="F21" s="181"/>
      <c r="G21" s="180">
        <f t="shared" si="0"/>
        <v>4.95</v>
      </c>
    </row>
    <row r="22" spans="1:7" x14ac:dyDescent="0.25">
      <c r="A22" s="177" t="s">
        <v>290</v>
      </c>
      <c r="B22" s="178" t="s">
        <v>291</v>
      </c>
      <c r="C22" s="177" t="s">
        <v>48</v>
      </c>
      <c r="D22" s="179">
        <v>332</v>
      </c>
      <c r="E22" s="180">
        <v>0.39</v>
      </c>
      <c r="F22" s="181"/>
      <c r="G22" s="180">
        <f t="shared" si="0"/>
        <v>129.47999999999999</v>
      </c>
    </row>
    <row r="23" spans="1:7" x14ac:dyDescent="0.25">
      <c r="A23" s="177" t="s">
        <v>292</v>
      </c>
      <c r="B23" s="178" t="s">
        <v>293</v>
      </c>
      <c r="C23" s="177" t="s">
        <v>48</v>
      </c>
      <c r="D23" s="179">
        <v>1</v>
      </c>
      <c r="E23" s="180">
        <v>130</v>
      </c>
      <c r="F23" s="181"/>
      <c r="G23" s="180">
        <f t="shared" si="0"/>
        <v>130</v>
      </c>
    </row>
    <row r="24" spans="1:7" x14ac:dyDescent="0.25">
      <c r="A24" s="171" t="s">
        <v>294</v>
      </c>
      <c r="B24" s="182" t="s">
        <v>295</v>
      </c>
      <c r="C24" s="171" t="s">
        <v>48</v>
      </c>
      <c r="D24" s="173">
        <v>6</v>
      </c>
      <c r="E24" s="174">
        <v>2</v>
      </c>
      <c r="F24" s="183"/>
      <c r="G24" s="174">
        <f t="shared" si="0"/>
        <v>12</v>
      </c>
    </row>
    <row r="25" spans="1:7" x14ac:dyDescent="0.25">
      <c r="A25" s="378" t="s">
        <v>25</v>
      </c>
      <c r="B25" s="378"/>
      <c r="C25" s="378"/>
      <c r="D25" s="378"/>
      <c r="E25" s="378"/>
      <c r="F25" s="378"/>
      <c r="G25" s="56">
        <f>SUM(G17:G24)</f>
        <v>325.26</v>
      </c>
    </row>
    <row r="26" spans="1:7" x14ac:dyDescent="0.25">
      <c r="A26" s="45"/>
      <c r="B26" s="46"/>
      <c r="C26" s="45"/>
      <c r="D26" s="47"/>
      <c r="E26" s="48"/>
      <c r="F26" s="47"/>
      <c r="G26" s="48"/>
    </row>
    <row r="27" spans="1:7" x14ac:dyDescent="0.25">
      <c r="A27" s="380" t="s">
        <v>26</v>
      </c>
      <c r="B27" s="381"/>
      <c r="C27" s="381"/>
      <c r="D27" s="381"/>
      <c r="E27" s="381"/>
      <c r="F27" s="381"/>
      <c r="G27" s="382"/>
    </row>
    <row r="28" spans="1:7" x14ac:dyDescent="0.25">
      <c r="A28" s="72" t="s">
        <v>18</v>
      </c>
      <c r="B28" s="72" t="s">
        <v>19</v>
      </c>
      <c r="C28" s="72" t="s">
        <v>3</v>
      </c>
      <c r="D28" s="72" t="s">
        <v>4</v>
      </c>
      <c r="E28" s="72" t="s">
        <v>27</v>
      </c>
      <c r="F28" s="72" t="s">
        <v>28</v>
      </c>
      <c r="G28" s="72" t="s">
        <v>22</v>
      </c>
    </row>
    <row r="29" spans="1:7" x14ac:dyDescent="0.25">
      <c r="A29" s="160"/>
      <c r="B29" s="161"/>
      <c r="C29" s="160"/>
      <c r="D29" s="162"/>
      <c r="E29" s="163"/>
      <c r="F29" s="131"/>
      <c r="G29" s="52"/>
    </row>
    <row r="30" spans="1:7" x14ac:dyDescent="0.25">
      <c r="A30" s="378" t="s">
        <v>29</v>
      </c>
      <c r="B30" s="379"/>
      <c r="C30" s="379"/>
      <c r="D30" s="379"/>
      <c r="E30" s="379"/>
      <c r="F30" s="379"/>
      <c r="G30" s="56">
        <v>0</v>
      </c>
    </row>
    <row r="31" spans="1:7" x14ac:dyDescent="0.25">
      <c r="A31" s="45"/>
      <c r="B31" s="46"/>
      <c r="C31" s="45"/>
      <c r="D31" s="47"/>
      <c r="E31" s="48"/>
      <c r="F31" s="47"/>
      <c r="G31" s="48"/>
    </row>
    <row r="32" spans="1:7" x14ac:dyDescent="0.25">
      <c r="A32" s="380" t="s">
        <v>30</v>
      </c>
      <c r="B32" s="381"/>
      <c r="C32" s="381"/>
      <c r="D32" s="381"/>
      <c r="E32" s="381"/>
      <c r="F32" s="381"/>
      <c r="G32" s="382"/>
    </row>
    <row r="33" spans="1:7" x14ac:dyDescent="0.25">
      <c r="A33" s="72" t="s">
        <v>18</v>
      </c>
      <c r="B33" s="72" t="s">
        <v>19</v>
      </c>
      <c r="C33" s="72"/>
      <c r="D33" s="72" t="s">
        <v>31</v>
      </c>
      <c r="E33" s="72" t="s">
        <v>32</v>
      </c>
      <c r="F33" s="72" t="s">
        <v>21</v>
      </c>
      <c r="G33" s="72" t="s">
        <v>22</v>
      </c>
    </row>
    <row r="34" spans="1:7" x14ac:dyDescent="0.25">
      <c r="A34" s="167" t="s">
        <v>74</v>
      </c>
      <c r="B34" s="175" t="s">
        <v>75</v>
      </c>
      <c r="C34" s="184"/>
      <c r="D34" s="169">
        <v>4</v>
      </c>
      <c r="E34" s="170">
        <v>3.41</v>
      </c>
      <c r="F34" s="169">
        <v>2</v>
      </c>
      <c r="G34" s="170">
        <f>ROUND(D34*E34*F34,2)</f>
        <v>27.28</v>
      </c>
    </row>
    <row r="35" spans="1:7" x14ac:dyDescent="0.25">
      <c r="A35" s="177" t="s">
        <v>76</v>
      </c>
      <c r="B35" s="178" t="s">
        <v>77</v>
      </c>
      <c r="C35" s="185"/>
      <c r="D35" s="179">
        <v>5</v>
      </c>
      <c r="E35" s="180">
        <v>3.45</v>
      </c>
      <c r="F35" s="179">
        <v>2</v>
      </c>
      <c r="G35" s="180">
        <f t="shared" ref="G35:G36" si="1">ROUND(D35*E35*F35,2)</f>
        <v>34.5</v>
      </c>
    </row>
    <row r="36" spans="1:7" x14ac:dyDescent="0.25">
      <c r="A36" s="171" t="s">
        <v>90</v>
      </c>
      <c r="B36" s="182" t="s">
        <v>91</v>
      </c>
      <c r="C36" s="186"/>
      <c r="D36" s="173">
        <v>1</v>
      </c>
      <c r="E36" s="174">
        <v>3.83</v>
      </c>
      <c r="F36" s="173">
        <v>2</v>
      </c>
      <c r="G36" s="174">
        <f t="shared" si="1"/>
        <v>7.66</v>
      </c>
    </row>
    <row r="37" spans="1:7" x14ac:dyDescent="0.25">
      <c r="A37" s="378" t="s">
        <v>33</v>
      </c>
      <c r="B37" s="378"/>
      <c r="C37" s="378"/>
      <c r="D37" s="378"/>
      <c r="E37" s="378"/>
      <c r="F37" s="378"/>
      <c r="G37" s="56">
        <f>SUM(G34:G36)</f>
        <v>69.44</v>
      </c>
    </row>
    <row r="38" spans="1:7" x14ac:dyDescent="0.25">
      <c r="A38" s="45"/>
      <c r="B38" s="46"/>
      <c r="C38" s="45"/>
      <c r="D38" s="47"/>
      <c r="E38" s="48"/>
      <c r="F38" s="47"/>
      <c r="G38" s="48"/>
    </row>
    <row r="39" spans="1:7" x14ac:dyDescent="0.25">
      <c r="A39" s="383" t="s">
        <v>34</v>
      </c>
      <c r="B39" s="384"/>
      <c r="C39" s="384"/>
      <c r="D39" s="384"/>
      <c r="E39" s="384"/>
      <c r="F39" s="384"/>
      <c r="G39" s="58">
        <f>+G13+G25+G30+G37</f>
        <v>398.17</v>
      </c>
    </row>
    <row r="40" spans="1:7" x14ac:dyDescent="0.25">
      <c r="A40" s="95"/>
      <c r="B40" s="96"/>
      <c r="C40" s="96"/>
      <c r="D40" s="96"/>
      <c r="E40" s="96"/>
      <c r="F40" s="96"/>
      <c r="G40" s="58"/>
    </row>
    <row r="41" spans="1:7" x14ac:dyDescent="0.25">
      <c r="A41" s="385" t="s">
        <v>35</v>
      </c>
      <c r="B41" s="386"/>
      <c r="C41" s="386"/>
      <c r="D41" s="386"/>
      <c r="E41" s="386"/>
      <c r="F41" s="386"/>
      <c r="G41" s="387"/>
    </row>
    <row r="42" spans="1:7" x14ac:dyDescent="0.25">
      <c r="A42" s="383" t="s">
        <v>78</v>
      </c>
      <c r="B42" s="384"/>
      <c r="C42" s="384"/>
      <c r="D42" s="384"/>
      <c r="E42" s="384"/>
      <c r="F42" s="384"/>
      <c r="G42" s="58">
        <f>ROUND(0.21*G39,2)</f>
        <v>83.62</v>
      </c>
    </row>
    <row r="43" spans="1:7" x14ac:dyDescent="0.25">
      <c r="A43" s="45"/>
      <c r="B43" s="46"/>
      <c r="C43" s="45"/>
      <c r="D43" s="47"/>
      <c r="E43" s="48"/>
      <c r="F43" s="47"/>
      <c r="G43" s="48"/>
    </row>
    <row r="44" spans="1:7" x14ac:dyDescent="0.25">
      <c r="A44" s="376" t="s">
        <v>36</v>
      </c>
      <c r="B44" s="377"/>
      <c r="C44" s="377"/>
      <c r="D44" s="377"/>
      <c r="E44" s="377"/>
      <c r="F44" s="377"/>
      <c r="G44" s="166">
        <f>G39+G42</f>
        <v>481.79</v>
      </c>
    </row>
  </sheetData>
  <mergeCells count="16">
    <mergeCell ref="A44:F44"/>
    <mergeCell ref="A30:F30"/>
    <mergeCell ref="A32:G32"/>
    <mergeCell ref="A37:F37"/>
    <mergeCell ref="A39:F39"/>
    <mergeCell ref="A41:G41"/>
    <mergeCell ref="A42:F42"/>
    <mergeCell ref="A27:G27"/>
    <mergeCell ref="A1:F1"/>
    <mergeCell ref="B2:D2"/>
    <mergeCell ref="F2:G2"/>
    <mergeCell ref="A8:G8"/>
    <mergeCell ref="A10:G10"/>
    <mergeCell ref="A13:F13"/>
    <mergeCell ref="A15:G15"/>
    <mergeCell ref="A25:F25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4" workbookViewId="0">
      <selection activeCell="B4" sqref="B4:G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Presupuesto!B16</f>
        <v>9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Presupuesto!C16</f>
        <v>514294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Presupuesto!D16</f>
        <v>Tuberia PVC 160 mm de uso sanitario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Presupuesto!E16</f>
        <v>m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ROUND(0.05*G31,2)</f>
        <v>7.0000000000000007E-2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v>7.0000000000000007E-2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136</v>
      </c>
      <c r="B17" s="213" t="s">
        <v>137</v>
      </c>
      <c r="C17" s="201" t="s">
        <v>121</v>
      </c>
      <c r="D17" s="203">
        <v>1.7999999999999999E-2</v>
      </c>
      <c r="E17" s="248">
        <v>13.58</v>
      </c>
      <c r="F17" s="230"/>
      <c r="G17" s="204">
        <f>ROUND(D17*E17,2)</f>
        <v>0.24</v>
      </c>
    </row>
    <row r="18" spans="1:7" x14ac:dyDescent="0.25">
      <c r="A18" s="205" t="s">
        <v>138</v>
      </c>
      <c r="B18" s="214" t="s">
        <v>139</v>
      </c>
      <c r="C18" s="205" t="s">
        <v>121</v>
      </c>
      <c r="D18" s="207">
        <v>1.7999999999999999E-2</v>
      </c>
      <c r="E18" s="208">
        <v>8.23</v>
      </c>
      <c r="F18" s="231"/>
      <c r="G18" s="208">
        <f t="shared" ref="G18:G19" si="0">ROUND(D18*E18,2)</f>
        <v>0.15</v>
      </c>
    </row>
    <row r="19" spans="1:7" x14ac:dyDescent="0.25">
      <c r="A19" s="209" t="s">
        <v>140</v>
      </c>
      <c r="B19" s="216" t="s">
        <v>141</v>
      </c>
      <c r="C19" s="209" t="s">
        <v>129</v>
      </c>
      <c r="D19" s="211">
        <v>1.03</v>
      </c>
      <c r="E19" s="212">
        <v>5.5</v>
      </c>
      <c r="F19" s="232"/>
      <c r="G19" s="212">
        <f t="shared" si="0"/>
        <v>5.67</v>
      </c>
    </row>
    <row r="20" spans="1:7" x14ac:dyDescent="0.25">
      <c r="A20" s="398" t="s">
        <v>25</v>
      </c>
      <c r="B20" s="398"/>
      <c r="C20" s="398"/>
      <c r="D20" s="398"/>
      <c r="E20" s="398"/>
      <c r="F20" s="398"/>
      <c r="G20" s="24">
        <f>SUM(G17:G19)</f>
        <v>6.06</v>
      </c>
    </row>
    <row r="21" spans="1:7" x14ac:dyDescent="0.25">
      <c r="A21" s="14"/>
      <c r="B21" s="15"/>
      <c r="C21" s="14"/>
      <c r="D21" s="16"/>
      <c r="E21" s="17"/>
      <c r="F21" s="16"/>
      <c r="G21" s="17"/>
    </row>
    <row r="22" spans="1:7" x14ac:dyDescent="0.25">
      <c r="A22" s="395" t="s">
        <v>26</v>
      </c>
      <c r="B22" s="396"/>
      <c r="C22" s="396"/>
      <c r="D22" s="396"/>
      <c r="E22" s="396"/>
      <c r="F22" s="396"/>
      <c r="G22" s="397"/>
    </row>
    <row r="23" spans="1:7" x14ac:dyDescent="0.25">
      <c r="A23" s="27" t="s">
        <v>18</v>
      </c>
      <c r="B23" s="27" t="s">
        <v>19</v>
      </c>
      <c r="C23" s="27" t="s">
        <v>3</v>
      </c>
      <c r="D23" s="27" t="s">
        <v>4</v>
      </c>
      <c r="E23" s="27" t="s">
        <v>27</v>
      </c>
      <c r="F23" s="27" t="s">
        <v>28</v>
      </c>
      <c r="G23" s="27" t="s">
        <v>22</v>
      </c>
    </row>
    <row r="24" spans="1:7" x14ac:dyDescent="0.25">
      <c r="A24" s="22"/>
      <c r="B24" s="25"/>
      <c r="C24" s="22"/>
      <c r="D24" s="23"/>
      <c r="E24" s="24"/>
      <c r="F24" s="26"/>
      <c r="G24" s="21"/>
    </row>
    <row r="25" spans="1:7" x14ac:dyDescent="0.25">
      <c r="A25" s="393" t="s">
        <v>29</v>
      </c>
      <c r="B25" s="394"/>
      <c r="C25" s="394"/>
      <c r="D25" s="394"/>
      <c r="E25" s="394"/>
      <c r="F25" s="394"/>
      <c r="G25" s="24">
        <v>0</v>
      </c>
    </row>
    <row r="26" spans="1:7" x14ac:dyDescent="0.25">
      <c r="A26" s="14"/>
      <c r="B26" s="15"/>
      <c r="C26" s="14"/>
      <c r="D26" s="16"/>
      <c r="E26" s="17"/>
      <c r="F26" s="16"/>
      <c r="G26" s="17"/>
    </row>
    <row r="27" spans="1:7" x14ac:dyDescent="0.25">
      <c r="A27" s="395" t="s">
        <v>30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/>
      <c r="D28" s="27" t="s">
        <v>31</v>
      </c>
      <c r="E28" s="27" t="s">
        <v>32</v>
      </c>
      <c r="F28" s="27" t="s">
        <v>21</v>
      </c>
      <c r="G28" s="27" t="s">
        <v>22</v>
      </c>
    </row>
    <row r="29" spans="1:7" x14ac:dyDescent="0.25">
      <c r="A29" s="201" t="s">
        <v>74</v>
      </c>
      <c r="B29" s="213" t="s">
        <v>75</v>
      </c>
      <c r="C29" s="190"/>
      <c r="D29" s="203">
        <v>1</v>
      </c>
      <c r="E29" s="204">
        <v>3.41</v>
      </c>
      <c r="F29" s="203">
        <v>0.2</v>
      </c>
      <c r="G29" s="204">
        <f>ROUND(D29*E29*F29,2)</f>
        <v>0.68</v>
      </c>
    </row>
    <row r="30" spans="1:7" x14ac:dyDescent="0.25">
      <c r="A30" s="209" t="s">
        <v>76</v>
      </c>
      <c r="B30" s="216" t="s">
        <v>77</v>
      </c>
      <c r="C30" s="217"/>
      <c r="D30" s="211">
        <v>1</v>
      </c>
      <c r="E30" s="212">
        <v>3.45</v>
      </c>
      <c r="F30" s="211">
        <v>0.2</v>
      </c>
      <c r="G30" s="212">
        <f>ROUND(D30*E30*F30,2)</f>
        <v>0.69</v>
      </c>
    </row>
    <row r="31" spans="1:7" x14ac:dyDescent="0.25">
      <c r="A31" s="398" t="s">
        <v>33</v>
      </c>
      <c r="B31" s="398"/>
      <c r="C31" s="398"/>
      <c r="D31" s="398"/>
      <c r="E31" s="398"/>
      <c r="F31" s="398"/>
      <c r="G31" s="24">
        <f>SUM(G29:G30)</f>
        <v>1.37</v>
      </c>
    </row>
    <row r="32" spans="1:7" x14ac:dyDescent="0.25">
      <c r="A32" s="14"/>
      <c r="B32" s="15"/>
      <c r="C32" s="14"/>
      <c r="D32" s="16"/>
      <c r="E32" s="17"/>
      <c r="F32" s="16"/>
      <c r="G32" s="17"/>
    </row>
    <row r="33" spans="1:7" x14ac:dyDescent="0.25">
      <c r="A33" s="399" t="s">
        <v>34</v>
      </c>
      <c r="B33" s="400"/>
      <c r="C33" s="400"/>
      <c r="D33" s="400"/>
      <c r="E33" s="400"/>
      <c r="F33" s="400"/>
      <c r="G33" s="5">
        <f>G13+G20+G25+G31</f>
        <v>7.5</v>
      </c>
    </row>
    <row r="34" spans="1:7" x14ac:dyDescent="0.25">
      <c r="A34" s="28"/>
      <c r="B34" s="29"/>
      <c r="C34" s="29"/>
      <c r="D34" s="29"/>
      <c r="E34" s="29"/>
      <c r="F34" s="29"/>
      <c r="G34" s="5"/>
    </row>
    <row r="35" spans="1:7" x14ac:dyDescent="0.25">
      <c r="A35" s="401" t="s">
        <v>35</v>
      </c>
      <c r="B35" s="402"/>
      <c r="C35" s="402"/>
      <c r="D35" s="402"/>
      <c r="E35" s="402"/>
      <c r="F35" s="402"/>
      <c r="G35" s="403"/>
    </row>
    <row r="36" spans="1:7" x14ac:dyDescent="0.25">
      <c r="A36" s="399" t="s">
        <v>78</v>
      </c>
      <c r="B36" s="400"/>
      <c r="C36" s="400"/>
      <c r="D36" s="400"/>
      <c r="E36" s="400"/>
      <c r="F36" s="400"/>
      <c r="G36" s="5">
        <f>ROUND(0.21*G33,2)</f>
        <v>1.58</v>
      </c>
    </row>
    <row r="37" spans="1:7" x14ac:dyDescent="0.25">
      <c r="A37" s="14"/>
      <c r="B37" s="15"/>
      <c r="C37" s="14"/>
      <c r="D37" s="16"/>
      <c r="E37" s="17"/>
      <c r="F37" s="16"/>
      <c r="G37" s="17"/>
    </row>
    <row r="38" spans="1:7" x14ac:dyDescent="0.25">
      <c r="A38" s="391" t="s">
        <v>36</v>
      </c>
      <c r="B38" s="392"/>
      <c r="C38" s="392"/>
      <c r="D38" s="392"/>
      <c r="E38" s="392"/>
      <c r="F38" s="392"/>
      <c r="G38" s="200">
        <f>G33+G36</f>
        <v>9.08</v>
      </c>
    </row>
  </sheetData>
  <mergeCells count="19">
    <mergeCell ref="A22:G22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0:F20"/>
    <mergeCell ref="A38:F38"/>
    <mergeCell ref="A25:F25"/>
    <mergeCell ref="A27:G27"/>
    <mergeCell ref="A31:F31"/>
    <mergeCell ref="A33:F33"/>
    <mergeCell ref="A35:G35"/>
    <mergeCell ref="A36:F36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B4" sqref="B4:G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Presupuesto!B17</f>
        <v>10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Presupuesto!C17</f>
        <v>515281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Presupuesto!D17</f>
        <v>Tuberia PVC 50 mm de uso sanitario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Presupuesto!E17</f>
        <v>m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/>
      <c r="B12" s="18"/>
      <c r="C12" s="19"/>
      <c r="D12" s="20"/>
      <c r="E12" s="21"/>
      <c r="F12" s="20"/>
      <c r="G12" s="21"/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v>0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142</v>
      </c>
      <c r="B17" s="213" t="s">
        <v>143</v>
      </c>
      <c r="C17" s="201" t="s">
        <v>129</v>
      </c>
      <c r="D17" s="203">
        <v>1.05</v>
      </c>
      <c r="E17" s="204">
        <v>1.75</v>
      </c>
      <c r="F17" s="230"/>
      <c r="G17" s="204">
        <f>ROUND(D17*E17,2)</f>
        <v>1.84</v>
      </c>
    </row>
    <row r="18" spans="1:7" x14ac:dyDescent="0.25">
      <c r="A18" s="205" t="s">
        <v>136</v>
      </c>
      <c r="B18" s="214" t="s">
        <v>137</v>
      </c>
      <c r="C18" s="205" t="s">
        <v>121</v>
      </c>
      <c r="D18" s="207">
        <v>6.0000000000000001E-3</v>
      </c>
      <c r="E18" s="208">
        <v>13.58</v>
      </c>
      <c r="F18" s="231"/>
      <c r="G18" s="208">
        <f t="shared" ref="G18:G19" si="0">ROUND(D18*E18,2)</f>
        <v>0.08</v>
      </c>
    </row>
    <row r="19" spans="1:7" x14ac:dyDescent="0.25">
      <c r="A19" s="209" t="s">
        <v>138</v>
      </c>
      <c r="B19" s="216" t="s">
        <v>139</v>
      </c>
      <c r="C19" s="209" t="s">
        <v>121</v>
      </c>
      <c r="D19" s="211">
        <v>6.0000000000000001E-3</v>
      </c>
      <c r="E19" s="212">
        <v>8.23</v>
      </c>
      <c r="F19" s="232"/>
      <c r="G19" s="212">
        <f t="shared" si="0"/>
        <v>0.05</v>
      </c>
    </row>
    <row r="20" spans="1:7" x14ac:dyDescent="0.25">
      <c r="A20" s="398" t="s">
        <v>25</v>
      </c>
      <c r="B20" s="398"/>
      <c r="C20" s="398"/>
      <c r="D20" s="398"/>
      <c r="E20" s="398"/>
      <c r="F20" s="398"/>
      <c r="G20" s="24">
        <f>SUM(G17:G19)</f>
        <v>1.9700000000000002</v>
      </c>
    </row>
    <row r="21" spans="1:7" x14ac:dyDescent="0.25">
      <c r="A21" s="14"/>
      <c r="B21" s="15"/>
      <c r="C21" s="14"/>
      <c r="D21" s="16"/>
      <c r="E21" s="17"/>
      <c r="F21" s="16"/>
      <c r="G21" s="17"/>
    </row>
    <row r="22" spans="1:7" x14ac:dyDescent="0.25">
      <c r="A22" s="395" t="s">
        <v>26</v>
      </c>
      <c r="B22" s="396"/>
      <c r="C22" s="396"/>
      <c r="D22" s="396"/>
      <c r="E22" s="396"/>
      <c r="F22" s="396"/>
      <c r="G22" s="397"/>
    </row>
    <row r="23" spans="1:7" x14ac:dyDescent="0.25">
      <c r="A23" s="27" t="s">
        <v>18</v>
      </c>
      <c r="B23" s="27" t="s">
        <v>19</v>
      </c>
      <c r="C23" s="27" t="s">
        <v>3</v>
      </c>
      <c r="D23" s="27" t="s">
        <v>4</v>
      </c>
      <c r="E23" s="27" t="s">
        <v>27</v>
      </c>
      <c r="F23" s="27" t="s">
        <v>28</v>
      </c>
      <c r="G23" s="27" t="s">
        <v>22</v>
      </c>
    </row>
    <row r="24" spans="1:7" x14ac:dyDescent="0.25">
      <c r="A24" s="22"/>
      <c r="B24" s="25"/>
      <c r="C24" s="22"/>
      <c r="D24" s="23"/>
      <c r="E24" s="24"/>
      <c r="F24" s="26"/>
      <c r="G24" s="21"/>
    </row>
    <row r="25" spans="1:7" x14ac:dyDescent="0.25">
      <c r="A25" s="393" t="s">
        <v>29</v>
      </c>
      <c r="B25" s="394"/>
      <c r="C25" s="394"/>
      <c r="D25" s="394"/>
      <c r="E25" s="394"/>
      <c r="F25" s="394"/>
      <c r="G25" s="24">
        <v>0</v>
      </c>
    </row>
    <row r="26" spans="1:7" x14ac:dyDescent="0.25">
      <c r="A26" s="14"/>
      <c r="B26" s="15"/>
      <c r="C26" s="14"/>
      <c r="D26" s="16"/>
      <c r="E26" s="17"/>
      <c r="F26" s="16"/>
      <c r="G26" s="17"/>
    </row>
    <row r="27" spans="1:7" x14ac:dyDescent="0.25">
      <c r="A27" s="395" t="s">
        <v>30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/>
      <c r="D28" s="27" t="s">
        <v>31</v>
      </c>
      <c r="E28" s="27" t="s">
        <v>32</v>
      </c>
      <c r="F28" s="27" t="s">
        <v>21</v>
      </c>
      <c r="G28" s="27" t="s">
        <v>22</v>
      </c>
    </row>
    <row r="29" spans="1:7" x14ac:dyDescent="0.25">
      <c r="A29" s="201" t="s">
        <v>74</v>
      </c>
      <c r="B29" s="213" t="s">
        <v>75</v>
      </c>
      <c r="C29" s="190"/>
      <c r="D29" s="203">
        <v>1</v>
      </c>
      <c r="E29" s="204">
        <v>3.41</v>
      </c>
      <c r="F29" s="203">
        <v>0.09</v>
      </c>
      <c r="G29" s="204">
        <f>ROUND(D29*E29*F29,2)</f>
        <v>0.31</v>
      </c>
    </row>
    <row r="30" spans="1:7" x14ac:dyDescent="0.25">
      <c r="A30" s="209" t="s">
        <v>76</v>
      </c>
      <c r="B30" s="216" t="s">
        <v>77</v>
      </c>
      <c r="C30" s="217"/>
      <c r="D30" s="211">
        <v>1</v>
      </c>
      <c r="E30" s="212">
        <v>3.45</v>
      </c>
      <c r="F30" s="211">
        <v>0.09</v>
      </c>
      <c r="G30" s="212">
        <f>ROUND(D30*E30*F30,2)</f>
        <v>0.31</v>
      </c>
    </row>
    <row r="31" spans="1:7" x14ac:dyDescent="0.25">
      <c r="A31" s="398" t="s">
        <v>33</v>
      </c>
      <c r="B31" s="398"/>
      <c r="C31" s="398"/>
      <c r="D31" s="398"/>
      <c r="E31" s="398"/>
      <c r="F31" s="398"/>
      <c r="G31" s="24">
        <f>SUM(G29:G30)</f>
        <v>0.62</v>
      </c>
    </row>
    <row r="32" spans="1:7" x14ac:dyDescent="0.25">
      <c r="A32" s="14"/>
      <c r="B32" s="15"/>
      <c r="C32" s="14"/>
      <c r="D32" s="16"/>
      <c r="E32" s="17"/>
      <c r="F32" s="16"/>
      <c r="G32" s="17"/>
    </row>
    <row r="33" spans="1:7" x14ac:dyDescent="0.25">
      <c r="A33" s="399" t="s">
        <v>34</v>
      </c>
      <c r="B33" s="400"/>
      <c r="C33" s="400"/>
      <c r="D33" s="400"/>
      <c r="E33" s="400"/>
      <c r="F33" s="400"/>
      <c r="G33" s="5">
        <f>G31+G25+G20+G13</f>
        <v>2.5900000000000003</v>
      </c>
    </row>
    <row r="34" spans="1:7" x14ac:dyDescent="0.25">
      <c r="A34" s="28"/>
      <c r="B34" s="29"/>
      <c r="C34" s="29"/>
      <c r="D34" s="29"/>
      <c r="E34" s="29"/>
      <c r="F34" s="29"/>
      <c r="G34" s="5"/>
    </row>
    <row r="35" spans="1:7" x14ac:dyDescent="0.25">
      <c r="A35" s="401" t="s">
        <v>35</v>
      </c>
      <c r="B35" s="402"/>
      <c r="C35" s="402"/>
      <c r="D35" s="402"/>
      <c r="E35" s="402"/>
      <c r="F35" s="402"/>
      <c r="G35" s="403"/>
    </row>
    <row r="36" spans="1:7" x14ac:dyDescent="0.25">
      <c r="A36" s="399" t="s">
        <v>78</v>
      </c>
      <c r="B36" s="400"/>
      <c r="C36" s="400"/>
      <c r="D36" s="400"/>
      <c r="E36" s="400"/>
      <c r="F36" s="400"/>
      <c r="G36" s="5">
        <f>ROUND(0.21*G33,2)</f>
        <v>0.54</v>
      </c>
    </row>
    <row r="37" spans="1:7" x14ac:dyDescent="0.25">
      <c r="A37" s="14"/>
      <c r="B37" s="15"/>
      <c r="C37" s="14"/>
      <c r="D37" s="16"/>
      <c r="E37" s="17"/>
      <c r="F37" s="16"/>
      <c r="G37" s="17"/>
    </row>
    <row r="38" spans="1:7" x14ac:dyDescent="0.25">
      <c r="A38" s="391" t="s">
        <v>36</v>
      </c>
      <c r="B38" s="392"/>
      <c r="C38" s="392"/>
      <c r="D38" s="392"/>
      <c r="E38" s="392"/>
      <c r="F38" s="409"/>
      <c r="G38" s="200">
        <f>G33+G36</f>
        <v>3.1300000000000003</v>
      </c>
    </row>
  </sheetData>
  <mergeCells count="19">
    <mergeCell ref="A22:G22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0:F20"/>
    <mergeCell ref="A38:F38"/>
    <mergeCell ref="A25:F25"/>
    <mergeCell ref="A27:G27"/>
    <mergeCell ref="A31:F31"/>
    <mergeCell ref="A33:F33"/>
    <mergeCell ref="A35:G35"/>
    <mergeCell ref="A36:F36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D5" sqref="D5"/>
    </sheetView>
  </sheetViews>
  <sheetFormatPr baseColWidth="10" defaultRowHeight="13.2" x14ac:dyDescent="0.25"/>
  <cols>
    <col min="1" max="1" width="9.6640625" customWidth="1"/>
    <col min="2" max="2" width="22.88671875" customWidth="1"/>
    <col min="257" max="257" width="9.6640625" customWidth="1"/>
    <col min="258" max="258" width="22.88671875" customWidth="1"/>
    <col min="513" max="513" width="9.6640625" customWidth="1"/>
    <col min="514" max="514" width="22.88671875" customWidth="1"/>
    <col min="769" max="769" width="9.6640625" customWidth="1"/>
    <col min="770" max="770" width="22.88671875" customWidth="1"/>
    <col min="1025" max="1025" width="9.6640625" customWidth="1"/>
    <col min="1026" max="1026" width="22.88671875" customWidth="1"/>
    <col min="1281" max="1281" width="9.6640625" customWidth="1"/>
    <col min="1282" max="1282" width="22.88671875" customWidth="1"/>
    <col min="1537" max="1537" width="9.6640625" customWidth="1"/>
    <col min="1538" max="1538" width="22.88671875" customWidth="1"/>
    <col min="1793" max="1793" width="9.6640625" customWidth="1"/>
    <col min="1794" max="1794" width="22.88671875" customWidth="1"/>
    <col min="2049" max="2049" width="9.6640625" customWidth="1"/>
    <col min="2050" max="2050" width="22.88671875" customWidth="1"/>
    <col min="2305" max="2305" width="9.6640625" customWidth="1"/>
    <col min="2306" max="2306" width="22.88671875" customWidth="1"/>
    <col min="2561" max="2561" width="9.6640625" customWidth="1"/>
    <col min="2562" max="2562" width="22.88671875" customWidth="1"/>
    <col min="2817" max="2817" width="9.6640625" customWidth="1"/>
    <col min="2818" max="2818" width="22.88671875" customWidth="1"/>
    <col min="3073" max="3073" width="9.6640625" customWidth="1"/>
    <col min="3074" max="3074" width="22.88671875" customWidth="1"/>
    <col min="3329" max="3329" width="9.6640625" customWidth="1"/>
    <col min="3330" max="3330" width="22.88671875" customWidth="1"/>
    <col min="3585" max="3585" width="9.6640625" customWidth="1"/>
    <col min="3586" max="3586" width="22.88671875" customWidth="1"/>
    <col min="3841" max="3841" width="9.6640625" customWidth="1"/>
    <col min="3842" max="3842" width="22.88671875" customWidth="1"/>
    <col min="4097" max="4097" width="9.6640625" customWidth="1"/>
    <col min="4098" max="4098" width="22.88671875" customWidth="1"/>
    <col min="4353" max="4353" width="9.6640625" customWidth="1"/>
    <col min="4354" max="4354" width="22.88671875" customWidth="1"/>
    <col min="4609" max="4609" width="9.6640625" customWidth="1"/>
    <col min="4610" max="4610" width="22.88671875" customWidth="1"/>
    <col min="4865" max="4865" width="9.6640625" customWidth="1"/>
    <col min="4866" max="4866" width="22.88671875" customWidth="1"/>
    <col min="5121" max="5121" width="9.6640625" customWidth="1"/>
    <col min="5122" max="5122" width="22.88671875" customWidth="1"/>
    <col min="5377" max="5377" width="9.6640625" customWidth="1"/>
    <col min="5378" max="5378" width="22.88671875" customWidth="1"/>
    <col min="5633" max="5633" width="9.6640625" customWidth="1"/>
    <col min="5634" max="5634" width="22.88671875" customWidth="1"/>
    <col min="5889" max="5889" width="9.6640625" customWidth="1"/>
    <col min="5890" max="5890" width="22.88671875" customWidth="1"/>
    <col min="6145" max="6145" width="9.6640625" customWidth="1"/>
    <col min="6146" max="6146" width="22.88671875" customWidth="1"/>
    <col min="6401" max="6401" width="9.6640625" customWidth="1"/>
    <col min="6402" max="6402" width="22.88671875" customWidth="1"/>
    <col min="6657" max="6657" width="9.6640625" customWidth="1"/>
    <col min="6658" max="6658" width="22.88671875" customWidth="1"/>
    <col min="6913" max="6913" width="9.6640625" customWidth="1"/>
    <col min="6914" max="6914" width="22.88671875" customWidth="1"/>
    <col min="7169" max="7169" width="9.6640625" customWidth="1"/>
    <col min="7170" max="7170" width="22.88671875" customWidth="1"/>
    <col min="7425" max="7425" width="9.6640625" customWidth="1"/>
    <col min="7426" max="7426" width="22.88671875" customWidth="1"/>
    <col min="7681" max="7681" width="9.6640625" customWidth="1"/>
    <col min="7682" max="7682" width="22.88671875" customWidth="1"/>
    <col min="7937" max="7937" width="9.6640625" customWidth="1"/>
    <col min="7938" max="7938" width="22.88671875" customWidth="1"/>
    <col min="8193" max="8193" width="9.6640625" customWidth="1"/>
    <col min="8194" max="8194" width="22.88671875" customWidth="1"/>
    <col min="8449" max="8449" width="9.6640625" customWidth="1"/>
    <col min="8450" max="8450" width="22.88671875" customWidth="1"/>
    <col min="8705" max="8705" width="9.6640625" customWidth="1"/>
    <col min="8706" max="8706" width="22.88671875" customWidth="1"/>
    <col min="8961" max="8961" width="9.6640625" customWidth="1"/>
    <col min="8962" max="8962" width="22.88671875" customWidth="1"/>
    <col min="9217" max="9217" width="9.6640625" customWidth="1"/>
    <col min="9218" max="9218" width="22.88671875" customWidth="1"/>
    <col min="9473" max="9473" width="9.6640625" customWidth="1"/>
    <col min="9474" max="9474" width="22.88671875" customWidth="1"/>
    <col min="9729" max="9729" width="9.6640625" customWidth="1"/>
    <col min="9730" max="9730" width="22.88671875" customWidth="1"/>
    <col min="9985" max="9985" width="9.6640625" customWidth="1"/>
    <col min="9986" max="9986" width="22.88671875" customWidth="1"/>
    <col min="10241" max="10241" width="9.6640625" customWidth="1"/>
    <col min="10242" max="10242" width="22.88671875" customWidth="1"/>
    <col min="10497" max="10497" width="9.6640625" customWidth="1"/>
    <col min="10498" max="10498" width="22.88671875" customWidth="1"/>
    <col min="10753" max="10753" width="9.6640625" customWidth="1"/>
    <col min="10754" max="10754" width="22.88671875" customWidth="1"/>
    <col min="11009" max="11009" width="9.6640625" customWidth="1"/>
    <col min="11010" max="11010" width="22.88671875" customWidth="1"/>
    <col min="11265" max="11265" width="9.6640625" customWidth="1"/>
    <col min="11266" max="11266" width="22.88671875" customWidth="1"/>
    <col min="11521" max="11521" width="9.6640625" customWidth="1"/>
    <col min="11522" max="11522" width="22.88671875" customWidth="1"/>
    <col min="11777" max="11777" width="9.6640625" customWidth="1"/>
    <col min="11778" max="11778" width="22.88671875" customWidth="1"/>
    <col min="12033" max="12033" width="9.6640625" customWidth="1"/>
    <col min="12034" max="12034" width="22.88671875" customWidth="1"/>
    <col min="12289" max="12289" width="9.6640625" customWidth="1"/>
    <col min="12290" max="12290" width="22.88671875" customWidth="1"/>
    <col min="12545" max="12545" width="9.6640625" customWidth="1"/>
    <col min="12546" max="12546" width="22.88671875" customWidth="1"/>
    <col min="12801" max="12801" width="9.6640625" customWidth="1"/>
    <col min="12802" max="12802" width="22.88671875" customWidth="1"/>
    <col min="13057" max="13057" width="9.6640625" customWidth="1"/>
    <col min="13058" max="13058" width="22.88671875" customWidth="1"/>
    <col min="13313" max="13313" width="9.6640625" customWidth="1"/>
    <col min="13314" max="13314" width="22.88671875" customWidth="1"/>
    <col min="13569" max="13569" width="9.6640625" customWidth="1"/>
    <col min="13570" max="13570" width="22.88671875" customWidth="1"/>
    <col min="13825" max="13825" width="9.6640625" customWidth="1"/>
    <col min="13826" max="13826" width="22.88671875" customWidth="1"/>
    <col min="14081" max="14081" width="9.6640625" customWidth="1"/>
    <col min="14082" max="14082" width="22.88671875" customWidth="1"/>
    <col min="14337" max="14337" width="9.6640625" customWidth="1"/>
    <col min="14338" max="14338" width="22.88671875" customWidth="1"/>
    <col min="14593" max="14593" width="9.6640625" customWidth="1"/>
    <col min="14594" max="14594" width="22.88671875" customWidth="1"/>
    <col min="14849" max="14849" width="9.6640625" customWidth="1"/>
    <col min="14850" max="14850" width="22.88671875" customWidth="1"/>
    <col min="15105" max="15105" width="9.6640625" customWidth="1"/>
    <col min="15106" max="15106" width="22.88671875" customWidth="1"/>
    <col min="15361" max="15361" width="9.6640625" customWidth="1"/>
    <col min="15362" max="15362" width="22.88671875" customWidth="1"/>
    <col min="15617" max="15617" width="9.6640625" customWidth="1"/>
    <col min="15618" max="15618" width="22.88671875" customWidth="1"/>
    <col min="15873" max="15873" width="9.6640625" customWidth="1"/>
    <col min="15874" max="15874" width="22.88671875" customWidth="1"/>
    <col min="16129" max="16129" width="9.6640625" customWidth="1"/>
    <col min="16130" max="16130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112">
        <f>Presupuesto!B18</f>
        <v>11</v>
      </c>
      <c r="C3" s="110"/>
      <c r="D3" s="110"/>
      <c r="E3" s="7"/>
      <c r="F3" s="111"/>
      <c r="G3" s="111"/>
    </row>
    <row r="4" spans="1:7" x14ac:dyDescent="0.25">
      <c r="A4" s="7" t="s">
        <v>13</v>
      </c>
      <c r="B4" s="196" t="str">
        <f>Presupuesto!C18</f>
        <v>515280</v>
      </c>
      <c r="C4" s="195"/>
      <c r="D4" s="195"/>
      <c r="E4" s="195"/>
      <c r="F4" s="195"/>
      <c r="G4" s="195"/>
    </row>
    <row r="5" spans="1:7" x14ac:dyDescent="0.25">
      <c r="A5" s="7" t="s">
        <v>14</v>
      </c>
      <c r="B5" s="256" t="str">
        <f>Presupuesto!D18</f>
        <v>Tuberia PVC 110 mm de uso sanitario</v>
      </c>
      <c r="C5" s="195"/>
      <c r="D5" s="195"/>
      <c r="E5" s="195"/>
      <c r="F5" s="195"/>
      <c r="G5" s="195"/>
    </row>
    <row r="6" spans="1:7" x14ac:dyDescent="0.25">
      <c r="A6" s="7" t="s">
        <v>15</v>
      </c>
      <c r="B6" s="256" t="str">
        <f>Presupuesto!E18</f>
        <v>m</v>
      </c>
      <c r="C6" s="195"/>
      <c r="D6" s="195"/>
      <c r="E6" s="195"/>
      <c r="F6" s="195"/>
      <c r="G6" s="195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02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ROUND(0.05*G31,2)</f>
        <v>0.04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0.04</v>
      </c>
    </row>
    <row r="14" spans="1:7" x14ac:dyDescent="0.25">
      <c r="A14" s="14"/>
      <c r="B14" s="102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330</v>
      </c>
      <c r="B17" s="213" t="s">
        <v>331</v>
      </c>
      <c r="C17" s="201" t="s">
        <v>129</v>
      </c>
      <c r="D17" s="203">
        <v>1.05</v>
      </c>
      <c r="E17" s="204">
        <v>4.5</v>
      </c>
      <c r="F17" s="230"/>
      <c r="G17" s="204">
        <f>ROUND(D17*E17,2)</f>
        <v>4.7300000000000004</v>
      </c>
    </row>
    <row r="18" spans="1:7" x14ac:dyDescent="0.25">
      <c r="A18" s="205" t="s">
        <v>136</v>
      </c>
      <c r="B18" s="214" t="s">
        <v>137</v>
      </c>
      <c r="C18" s="205" t="s">
        <v>121</v>
      </c>
      <c r="D18" s="207">
        <v>0.01</v>
      </c>
      <c r="E18" s="208">
        <v>13.58</v>
      </c>
      <c r="F18" s="231"/>
      <c r="G18" s="208">
        <f t="shared" ref="G18:G19" si="0">ROUND(D18*E18,2)</f>
        <v>0.14000000000000001</v>
      </c>
    </row>
    <row r="19" spans="1:7" x14ac:dyDescent="0.25">
      <c r="A19" s="209" t="s">
        <v>138</v>
      </c>
      <c r="B19" s="216" t="s">
        <v>139</v>
      </c>
      <c r="C19" s="209" t="s">
        <v>121</v>
      </c>
      <c r="D19" s="211">
        <v>0.01</v>
      </c>
      <c r="E19" s="212">
        <v>8.23</v>
      </c>
      <c r="F19" s="232"/>
      <c r="G19" s="212">
        <f t="shared" si="0"/>
        <v>0.08</v>
      </c>
    </row>
    <row r="20" spans="1:7" x14ac:dyDescent="0.25">
      <c r="A20" s="398" t="s">
        <v>25</v>
      </c>
      <c r="B20" s="398"/>
      <c r="C20" s="398"/>
      <c r="D20" s="398"/>
      <c r="E20" s="398"/>
      <c r="F20" s="398"/>
      <c r="G20" s="24">
        <f>SUM(G17:G19)</f>
        <v>4.95</v>
      </c>
    </row>
    <row r="21" spans="1:7" x14ac:dyDescent="0.25">
      <c r="A21" s="14"/>
      <c r="B21" s="102"/>
      <c r="C21" s="14"/>
      <c r="D21" s="16"/>
      <c r="E21" s="17"/>
      <c r="F21" s="16"/>
      <c r="G21" s="17"/>
    </row>
    <row r="22" spans="1:7" x14ac:dyDescent="0.25">
      <c r="A22" s="395" t="s">
        <v>26</v>
      </c>
      <c r="B22" s="396"/>
      <c r="C22" s="396"/>
      <c r="D22" s="396"/>
      <c r="E22" s="396"/>
      <c r="F22" s="396"/>
      <c r="G22" s="397"/>
    </row>
    <row r="23" spans="1:7" x14ac:dyDescent="0.25">
      <c r="A23" s="27" t="s">
        <v>18</v>
      </c>
      <c r="B23" s="27" t="s">
        <v>19</v>
      </c>
      <c r="C23" s="27" t="s">
        <v>3</v>
      </c>
      <c r="D23" s="27" t="s">
        <v>4</v>
      </c>
      <c r="E23" s="27" t="s">
        <v>27</v>
      </c>
      <c r="F23" s="27" t="s">
        <v>28</v>
      </c>
      <c r="G23" s="27" t="s">
        <v>22</v>
      </c>
    </row>
    <row r="24" spans="1:7" x14ac:dyDescent="0.25">
      <c r="A24" s="22"/>
      <c r="B24" s="25"/>
      <c r="C24" s="22"/>
      <c r="D24" s="23"/>
      <c r="E24" s="24"/>
      <c r="F24" s="26"/>
      <c r="G24" s="21"/>
    </row>
    <row r="25" spans="1:7" x14ac:dyDescent="0.25">
      <c r="A25" s="393" t="s">
        <v>29</v>
      </c>
      <c r="B25" s="394"/>
      <c r="C25" s="394"/>
      <c r="D25" s="394"/>
      <c r="E25" s="394"/>
      <c r="F25" s="394"/>
      <c r="G25" s="24">
        <v>0</v>
      </c>
    </row>
    <row r="26" spans="1:7" x14ac:dyDescent="0.25">
      <c r="A26" s="14"/>
      <c r="B26" s="102"/>
      <c r="C26" s="14"/>
      <c r="D26" s="16"/>
      <c r="E26" s="17"/>
      <c r="F26" s="16"/>
      <c r="G26" s="17"/>
    </row>
    <row r="27" spans="1:7" x14ac:dyDescent="0.25">
      <c r="A27" s="395" t="s">
        <v>30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/>
      <c r="D28" s="27" t="s">
        <v>31</v>
      </c>
      <c r="E28" s="27" t="s">
        <v>32</v>
      </c>
      <c r="F28" s="27" t="s">
        <v>21</v>
      </c>
      <c r="G28" s="27" t="s">
        <v>22</v>
      </c>
    </row>
    <row r="29" spans="1:7" x14ac:dyDescent="0.25">
      <c r="A29" s="201" t="s">
        <v>74</v>
      </c>
      <c r="B29" s="213" t="s">
        <v>75</v>
      </c>
      <c r="C29" s="190"/>
      <c r="D29" s="203">
        <v>1</v>
      </c>
      <c r="E29" s="204">
        <v>3.41</v>
      </c>
      <c r="F29" s="203">
        <v>0.12</v>
      </c>
      <c r="G29" s="204">
        <f>ROUND(D29*E29*F29,2)</f>
        <v>0.41</v>
      </c>
    </row>
    <row r="30" spans="1:7" x14ac:dyDescent="0.25">
      <c r="A30" s="209" t="s">
        <v>76</v>
      </c>
      <c r="B30" s="216" t="s">
        <v>77</v>
      </c>
      <c r="C30" s="217"/>
      <c r="D30" s="211">
        <v>1</v>
      </c>
      <c r="E30" s="212">
        <v>3.45</v>
      </c>
      <c r="F30" s="211">
        <v>0.12</v>
      </c>
      <c r="G30" s="212">
        <f>ROUND(D30*E30*F30,2)</f>
        <v>0.41</v>
      </c>
    </row>
    <row r="31" spans="1:7" x14ac:dyDescent="0.25">
      <c r="A31" s="398" t="s">
        <v>33</v>
      </c>
      <c r="B31" s="398"/>
      <c r="C31" s="398"/>
      <c r="D31" s="398"/>
      <c r="E31" s="398"/>
      <c r="F31" s="398"/>
      <c r="G31" s="24">
        <f>SUM(G29:G30)</f>
        <v>0.82</v>
      </c>
    </row>
    <row r="32" spans="1:7" x14ac:dyDescent="0.25">
      <c r="A32" s="235"/>
      <c r="B32" s="236"/>
      <c r="C32" s="237"/>
      <c r="D32" s="238"/>
      <c r="E32" s="239"/>
      <c r="F32" s="238"/>
      <c r="G32" s="240"/>
    </row>
    <row r="33" spans="1:7" x14ac:dyDescent="0.25">
      <c r="A33" s="399" t="s">
        <v>34</v>
      </c>
      <c r="B33" s="400"/>
      <c r="C33" s="400"/>
      <c r="D33" s="400"/>
      <c r="E33" s="400"/>
      <c r="F33" s="400"/>
      <c r="G33" s="5">
        <f>G31+G25+G20+G13</f>
        <v>5.8100000000000005</v>
      </c>
    </row>
    <row r="34" spans="1:7" x14ac:dyDescent="0.25">
      <c r="A34" s="108"/>
      <c r="B34" s="109"/>
      <c r="C34" s="109"/>
      <c r="D34" s="109"/>
      <c r="E34" s="109"/>
      <c r="F34" s="109"/>
      <c r="G34" s="5"/>
    </row>
    <row r="35" spans="1:7" x14ac:dyDescent="0.25">
      <c r="A35" s="401" t="s">
        <v>35</v>
      </c>
      <c r="B35" s="402"/>
      <c r="C35" s="402"/>
      <c r="D35" s="402"/>
      <c r="E35" s="402"/>
      <c r="F35" s="402"/>
      <c r="G35" s="403"/>
    </row>
    <row r="36" spans="1:7" x14ac:dyDescent="0.25">
      <c r="A36" s="399" t="s">
        <v>78</v>
      </c>
      <c r="B36" s="400"/>
      <c r="C36" s="400"/>
      <c r="D36" s="400"/>
      <c r="E36" s="400"/>
      <c r="F36" s="400"/>
      <c r="G36" s="5">
        <f>ROUND(0.21*G33,2)</f>
        <v>1.22</v>
      </c>
    </row>
    <row r="37" spans="1:7" x14ac:dyDescent="0.25">
      <c r="A37" s="14"/>
      <c r="B37" s="102"/>
      <c r="C37" s="14"/>
      <c r="D37" s="16"/>
      <c r="E37" s="17"/>
      <c r="F37" s="16"/>
      <c r="G37" s="17"/>
    </row>
    <row r="38" spans="1:7" x14ac:dyDescent="0.25">
      <c r="A38" s="391" t="s">
        <v>36</v>
      </c>
      <c r="B38" s="392"/>
      <c r="C38" s="392"/>
      <c r="D38" s="392"/>
      <c r="E38" s="392"/>
      <c r="F38" s="392"/>
      <c r="G38" s="200">
        <f>G33+G36</f>
        <v>7.03</v>
      </c>
    </row>
  </sheetData>
  <mergeCells count="16">
    <mergeCell ref="A22:G22"/>
    <mergeCell ref="A1:F1"/>
    <mergeCell ref="B2:D2"/>
    <mergeCell ref="F2:G2"/>
    <mergeCell ref="A8:G8"/>
    <mergeCell ref="A10:G10"/>
    <mergeCell ref="A13:F13"/>
    <mergeCell ref="A15:G15"/>
    <mergeCell ref="A20:F20"/>
    <mergeCell ref="A38:F38"/>
    <mergeCell ref="A25:F25"/>
    <mergeCell ref="A27:G27"/>
    <mergeCell ref="A31:F31"/>
    <mergeCell ref="A33:F33"/>
    <mergeCell ref="A35:G35"/>
    <mergeCell ref="A36:F36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4" workbookViewId="0">
      <selection activeCell="B4" sqref="B4:G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229">
        <f>Presupuesto!B19</f>
        <v>12</v>
      </c>
      <c r="C3" s="76"/>
      <c r="D3" s="76"/>
      <c r="E3" s="7"/>
      <c r="F3" s="77"/>
      <c r="G3" s="77"/>
    </row>
    <row r="4" spans="1:7" x14ac:dyDescent="0.25">
      <c r="A4" s="7" t="s">
        <v>13</v>
      </c>
      <c r="B4" s="407" t="str">
        <f>Presupuesto!C19</f>
        <v>514294M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Presupuesto!D19</f>
        <v>Yee PVC 160x110 mm de uso sanitario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Presupuesto!E19</f>
        <v>u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73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ROUND(0.05*G31,2)</f>
        <v>7.0000000000000007E-2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7.0000000000000007E-2</v>
      </c>
    </row>
    <row r="14" spans="1:7" x14ac:dyDescent="0.25">
      <c r="A14" s="14"/>
      <c r="B14" s="73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136</v>
      </c>
      <c r="B17" s="213" t="s">
        <v>137</v>
      </c>
      <c r="C17" s="201" t="s">
        <v>121</v>
      </c>
      <c r="D17" s="203">
        <v>1.7999999999999999E-2</v>
      </c>
      <c r="E17" s="204">
        <v>13.58</v>
      </c>
      <c r="F17" s="230"/>
      <c r="G17" s="204">
        <f>ROUND(D17*E17,2)</f>
        <v>0.24</v>
      </c>
    </row>
    <row r="18" spans="1:7" x14ac:dyDescent="0.25">
      <c r="A18" s="205" t="s">
        <v>138</v>
      </c>
      <c r="B18" s="214" t="s">
        <v>139</v>
      </c>
      <c r="C18" s="205" t="s">
        <v>121</v>
      </c>
      <c r="D18" s="207">
        <v>1.7999999999999999E-2</v>
      </c>
      <c r="E18" s="208">
        <v>8.23</v>
      </c>
      <c r="F18" s="231"/>
      <c r="G18" s="208">
        <f t="shared" ref="G18:G19" si="0">ROUND(D18*E18,2)</f>
        <v>0.15</v>
      </c>
    </row>
    <row r="19" spans="1:7" x14ac:dyDescent="0.25">
      <c r="A19" s="209" t="s">
        <v>140</v>
      </c>
      <c r="B19" s="216" t="s">
        <v>274</v>
      </c>
      <c r="C19" s="209" t="s">
        <v>48</v>
      </c>
      <c r="D19" s="211">
        <v>1.03</v>
      </c>
      <c r="E19" s="212">
        <f>16.26*1.14</f>
        <v>18.5364</v>
      </c>
      <c r="F19" s="232"/>
      <c r="G19" s="212">
        <f t="shared" si="0"/>
        <v>19.09</v>
      </c>
    </row>
    <row r="20" spans="1:7" x14ac:dyDescent="0.25">
      <c r="A20" s="398" t="s">
        <v>25</v>
      </c>
      <c r="B20" s="398"/>
      <c r="C20" s="398"/>
      <c r="D20" s="398"/>
      <c r="E20" s="398"/>
      <c r="F20" s="398"/>
      <c r="G20" s="24">
        <f>SUM(G17:G19)</f>
        <v>19.48</v>
      </c>
    </row>
    <row r="21" spans="1:7" x14ac:dyDescent="0.25">
      <c r="A21" s="14"/>
      <c r="B21" s="73"/>
      <c r="C21" s="14"/>
      <c r="D21" s="16"/>
      <c r="E21" s="17"/>
      <c r="F21" s="16"/>
      <c r="G21" s="17"/>
    </row>
    <row r="22" spans="1:7" x14ac:dyDescent="0.25">
      <c r="A22" s="395" t="s">
        <v>26</v>
      </c>
      <c r="B22" s="396"/>
      <c r="C22" s="396"/>
      <c r="D22" s="396"/>
      <c r="E22" s="396"/>
      <c r="F22" s="396"/>
      <c r="G22" s="397"/>
    </row>
    <row r="23" spans="1:7" x14ac:dyDescent="0.25">
      <c r="A23" s="27" t="s">
        <v>18</v>
      </c>
      <c r="B23" s="27" t="s">
        <v>19</v>
      </c>
      <c r="C23" s="27" t="s">
        <v>3</v>
      </c>
      <c r="D23" s="27" t="s">
        <v>4</v>
      </c>
      <c r="E23" s="27" t="s">
        <v>27</v>
      </c>
      <c r="F23" s="27" t="s">
        <v>28</v>
      </c>
      <c r="G23" s="27" t="s">
        <v>22</v>
      </c>
    </row>
    <row r="24" spans="1:7" x14ac:dyDescent="0.25">
      <c r="A24" s="22"/>
      <c r="B24" s="25"/>
      <c r="C24" s="22"/>
      <c r="D24" s="23"/>
      <c r="E24" s="24"/>
      <c r="F24" s="26"/>
      <c r="G24" s="21"/>
    </row>
    <row r="25" spans="1:7" x14ac:dyDescent="0.25">
      <c r="A25" s="393" t="s">
        <v>29</v>
      </c>
      <c r="B25" s="394"/>
      <c r="C25" s="394"/>
      <c r="D25" s="394"/>
      <c r="E25" s="394"/>
      <c r="F25" s="394"/>
      <c r="G25" s="24">
        <v>0</v>
      </c>
    </row>
    <row r="26" spans="1:7" x14ac:dyDescent="0.25">
      <c r="A26" s="14"/>
      <c r="B26" s="73"/>
      <c r="C26" s="14"/>
      <c r="D26" s="16"/>
      <c r="E26" s="17"/>
      <c r="F26" s="16"/>
      <c r="G26" s="17"/>
    </row>
    <row r="27" spans="1:7" x14ac:dyDescent="0.25">
      <c r="A27" s="395" t="s">
        <v>30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/>
      <c r="D28" s="27" t="s">
        <v>31</v>
      </c>
      <c r="E28" s="27" t="s">
        <v>32</v>
      </c>
      <c r="F28" s="27" t="s">
        <v>21</v>
      </c>
      <c r="G28" s="27" t="s">
        <v>22</v>
      </c>
    </row>
    <row r="29" spans="1:7" x14ac:dyDescent="0.25">
      <c r="A29" s="201" t="s">
        <v>74</v>
      </c>
      <c r="B29" s="213" t="s">
        <v>75</v>
      </c>
      <c r="C29" s="190"/>
      <c r="D29" s="203">
        <v>1</v>
      </c>
      <c r="E29" s="204">
        <v>3.41</v>
      </c>
      <c r="F29" s="203">
        <v>0.2</v>
      </c>
      <c r="G29" s="204">
        <f>ROUND(D29*E29*F29,2)</f>
        <v>0.68</v>
      </c>
    </row>
    <row r="30" spans="1:7" x14ac:dyDescent="0.25">
      <c r="A30" s="209" t="s">
        <v>76</v>
      </c>
      <c r="B30" s="216" t="s">
        <v>77</v>
      </c>
      <c r="C30" s="217"/>
      <c r="D30" s="211">
        <v>1</v>
      </c>
      <c r="E30" s="212">
        <v>3.45</v>
      </c>
      <c r="F30" s="211">
        <v>0.2</v>
      </c>
      <c r="G30" s="212">
        <f>ROUND(D30*E30*F30,2)</f>
        <v>0.69</v>
      </c>
    </row>
    <row r="31" spans="1:7" x14ac:dyDescent="0.25">
      <c r="A31" s="398" t="s">
        <v>33</v>
      </c>
      <c r="B31" s="398"/>
      <c r="C31" s="398"/>
      <c r="D31" s="398"/>
      <c r="E31" s="398"/>
      <c r="F31" s="398"/>
      <c r="G31" s="24">
        <f>SUM(G29:G30)</f>
        <v>1.37</v>
      </c>
    </row>
    <row r="32" spans="1:7" x14ac:dyDescent="0.25">
      <c r="A32" s="14"/>
      <c r="B32" s="73"/>
      <c r="C32" s="14"/>
      <c r="D32" s="16"/>
      <c r="E32" s="17"/>
      <c r="F32" s="16"/>
      <c r="G32" s="17"/>
    </row>
    <row r="33" spans="1:7" x14ac:dyDescent="0.25">
      <c r="A33" s="399" t="s">
        <v>34</v>
      </c>
      <c r="B33" s="400"/>
      <c r="C33" s="400"/>
      <c r="D33" s="400"/>
      <c r="E33" s="400"/>
      <c r="F33" s="400"/>
      <c r="G33" s="5">
        <f>G13+G20+G25+G31</f>
        <v>20.92</v>
      </c>
    </row>
    <row r="34" spans="1:7" x14ac:dyDescent="0.25">
      <c r="A34" s="74"/>
      <c r="B34" s="75"/>
      <c r="C34" s="75"/>
      <c r="D34" s="75"/>
      <c r="E34" s="75"/>
      <c r="F34" s="75"/>
      <c r="G34" s="5"/>
    </row>
    <row r="35" spans="1:7" x14ac:dyDescent="0.25">
      <c r="A35" s="401" t="s">
        <v>35</v>
      </c>
      <c r="B35" s="402"/>
      <c r="C35" s="402"/>
      <c r="D35" s="402"/>
      <c r="E35" s="402"/>
      <c r="F35" s="402"/>
      <c r="G35" s="403"/>
    </row>
    <row r="36" spans="1:7" x14ac:dyDescent="0.25">
      <c r="A36" s="399" t="s">
        <v>78</v>
      </c>
      <c r="B36" s="400"/>
      <c r="C36" s="400"/>
      <c r="D36" s="400"/>
      <c r="E36" s="400"/>
      <c r="F36" s="400"/>
      <c r="G36" s="5">
        <f>ROUND(0.21*G33,2)</f>
        <v>4.3899999999999997</v>
      </c>
    </row>
    <row r="37" spans="1:7" x14ac:dyDescent="0.25">
      <c r="A37" s="14"/>
      <c r="B37" s="73"/>
      <c r="C37" s="14"/>
      <c r="D37" s="16"/>
      <c r="E37" s="17"/>
      <c r="F37" s="16"/>
      <c r="G37" s="17"/>
    </row>
    <row r="38" spans="1:7" x14ac:dyDescent="0.25">
      <c r="A38" s="391" t="s">
        <v>36</v>
      </c>
      <c r="B38" s="392"/>
      <c r="C38" s="392"/>
      <c r="D38" s="392"/>
      <c r="E38" s="392"/>
      <c r="F38" s="392"/>
      <c r="G38" s="200">
        <f>G33+G36</f>
        <v>25.310000000000002</v>
      </c>
    </row>
  </sheetData>
  <mergeCells count="19">
    <mergeCell ref="A22:G22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0:F20"/>
    <mergeCell ref="A38:F38"/>
    <mergeCell ref="A25:F25"/>
    <mergeCell ref="A27:G27"/>
    <mergeCell ref="A31:F31"/>
    <mergeCell ref="A33:F33"/>
    <mergeCell ref="A35:G35"/>
    <mergeCell ref="A36:F36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6" workbookViewId="0">
      <selection activeCell="B6" sqref="B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196">
        <f>Presupuesto!B20</f>
        <v>13</v>
      </c>
      <c r="C3" s="110"/>
      <c r="D3" s="110"/>
      <c r="E3" s="7"/>
      <c r="F3" s="111"/>
      <c r="G3" s="111"/>
    </row>
    <row r="4" spans="1:7" x14ac:dyDescent="0.25">
      <c r="A4" s="7" t="s">
        <v>13</v>
      </c>
      <c r="B4" s="256" t="str">
        <f>Presupuesto!C20</f>
        <v>514294M</v>
      </c>
      <c r="C4" s="195"/>
      <c r="D4" s="195"/>
      <c r="E4" s="195"/>
      <c r="F4" s="195"/>
      <c r="G4" s="195"/>
    </row>
    <row r="5" spans="1:7" x14ac:dyDescent="0.25">
      <c r="A5" s="7" t="s">
        <v>14</v>
      </c>
      <c r="B5" s="256" t="str">
        <f>Presupuesto!D20</f>
        <v>Yee PVC 110x50 mm de uso sanitario</v>
      </c>
      <c r="C5" s="195"/>
      <c r="D5" s="195"/>
      <c r="E5" s="195"/>
      <c r="F5" s="195"/>
      <c r="G5" s="195"/>
    </row>
    <row r="6" spans="1:7" x14ac:dyDescent="0.25">
      <c r="A6" s="7" t="s">
        <v>15</v>
      </c>
      <c r="B6" s="229" t="str">
        <f>Presupuesto!E20</f>
        <v>u</v>
      </c>
      <c r="C6" s="195"/>
      <c r="D6" s="195"/>
      <c r="E6" s="195"/>
      <c r="F6" s="195"/>
      <c r="G6" s="195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02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ROUND(0.05*G31,2)</f>
        <v>7.0000000000000007E-2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7.0000000000000007E-2</v>
      </c>
    </row>
    <row r="14" spans="1:7" x14ac:dyDescent="0.25">
      <c r="A14" s="14"/>
      <c r="B14" s="102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136</v>
      </c>
      <c r="B17" s="213" t="s">
        <v>137</v>
      </c>
      <c r="C17" s="201" t="s">
        <v>121</v>
      </c>
      <c r="D17" s="203">
        <v>1.7999999999999999E-2</v>
      </c>
      <c r="E17" s="204">
        <v>13.58</v>
      </c>
      <c r="F17" s="230"/>
      <c r="G17" s="204">
        <f>ROUND(D17*E17,2)</f>
        <v>0.24</v>
      </c>
    </row>
    <row r="18" spans="1:7" x14ac:dyDescent="0.25">
      <c r="A18" s="205" t="s">
        <v>138</v>
      </c>
      <c r="B18" s="214" t="s">
        <v>139</v>
      </c>
      <c r="C18" s="205" t="s">
        <v>121</v>
      </c>
      <c r="D18" s="207">
        <v>1.7999999999999999E-2</v>
      </c>
      <c r="E18" s="208">
        <v>8.23</v>
      </c>
      <c r="F18" s="231"/>
      <c r="G18" s="208">
        <f t="shared" ref="G18:G19" si="0">ROUND(D18*E18,2)</f>
        <v>0.15</v>
      </c>
    </row>
    <row r="19" spans="1:7" x14ac:dyDescent="0.25">
      <c r="A19" s="209" t="s">
        <v>140</v>
      </c>
      <c r="B19" s="216" t="s">
        <v>334</v>
      </c>
      <c r="C19" s="209" t="s">
        <v>48</v>
      </c>
      <c r="D19" s="211">
        <v>1.03</v>
      </c>
      <c r="E19" s="212">
        <f>4.8*1.14</f>
        <v>5.4719999999999995</v>
      </c>
      <c r="F19" s="232"/>
      <c r="G19" s="212">
        <f t="shared" si="0"/>
        <v>5.64</v>
      </c>
    </row>
    <row r="20" spans="1:7" x14ac:dyDescent="0.25">
      <c r="A20" s="398" t="s">
        <v>25</v>
      </c>
      <c r="B20" s="398"/>
      <c r="C20" s="398"/>
      <c r="D20" s="398"/>
      <c r="E20" s="398"/>
      <c r="F20" s="398"/>
      <c r="G20" s="24">
        <f>SUM(G17:G19)</f>
        <v>6.0299999999999994</v>
      </c>
    </row>
    <row r="21" spans="1:7" x14ac:dyDescent="0.25">
      <c r="A21" s="14"/>
      <c r="B21" s="102"/>
      <c r="C21" s="14"/>
      <c r="D21" s="16"/>
      <c r="E21" s="17"/>
      <c r="F21" s="16"/>
      <c r="G21" s="17"/>
    </row>
    <row r="22" spans="1:7" x14ac:dyDescent="0.25">
      <c r="A22" s="395" t="s">
        <v>26</v>
      </c>
      <c r="B22" s="396"/>
      <c r="C22" s="396"/>
      <c r="D22" s="396"/>
      <c r="E22" s="396"/>
      <c r="F22" s="396"/>
      <c r="G22" s="397"/>
    </row>
    <row r="23" spans="1:7" x14ac:dyDescent="0.25">
      <c r="A23" s="27" t="s">
        <v>18</v>
      </c>
      <c r="B23" s="27" t="s">
        <v>19</v>
      </c>
      <c r="C23" s="27" t="s">
        <v>3</v>
      </c>
      <c r="D23" s="27" t="s">
        <v>4</v>
      </c>
      <c r="E23" s="27" t="s">
        <v>27</v>
      </c>
      <c r="F23" s="27" t="s">
        <v>28</v>
      </c>
      <c r="G23" s="27" t="s">
        <v>22</v>
      </c>
    </row>
    <row r="24" spans="1:7" x14ac:dyDescent="0.25">
      <c r="A24" s="22"/>
      <c r="B24" s="25"/>
      <c r="C24" s="22"/>
      <c r="D24" s="23"/>
      <c r="E24" s="24"/>
      <c r="F24" s="26"/>
      <c r="G24" s="21"/>
    </row>
    <row r="25" spans="1:7" x14ac:dyDescent="0.25">
      <c r="A25" s="393" t="s">
        <v>29</v>
      </c>
      <c r="B25" s="394"/>
      <c r="C25" s="394"/>
      <c r="D25" s="394"/>
      <c r="E25" s="394"/>
      <c r="F25" s="394"/>
      <c r="G25" s="24">
        <v>0</v>
      </c>
    </row>
    <row r="26" spans="1:7" x14ac:dyDescent="0.25">
      <c r="A26" s="14"/>
      <c r="B26" s="102"/>
      <c r="C26" s="14"/>
      <c r="D26" s="16"/>
      <c r="E26" s="17"/>
      <c r="F26" s="16"/>
      <c r="G26" s="17"/>
    </row>
    <row r="27" spans="1:7" x14ac:dyDescent="0.25">
      <c r="A27" s="395" t="s">
        <v>30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/>
      <c r="D28" s="27" t="s">
        <v>31</v>
      </c>
      <c r="E28" s="27" t="s">
        <v>32</v>
      </c>
      <c r="F28" s="27" t="s">
        <v>21</v>
      </c>
      <c r="G28" s="27" t="s">
        <v>22</v>
      </c>
    </row>
    <row r="29" spans="1:7" x14ac:dyDescent="0.25">
      <c r="A29" s="201" t="s">
        <v>74</v>
      </c>
      <c r="B29" s="213" t="s">
        <v>75</v>
      </c>
      <c r="C29" s="190"/>
      <c r="D29" s="203">
        <v>1</v>
      </c>
      <c r="E29" s="204">
        <v>3.41</v>
      </c>
      <c r="F29" s="203">
        <v>0.2</v>
      </c>
      <c r="G29" s="204">
        <f>ROUND(D29*E29*F29,2)</f>
        <v>0.68</v>
      </c>
    </row>
    <row r="30" spans="1:7" x14ac:dyDescent="0.25">
      <c r="A30" s="209" t="s">
        <v>76</v>
      </c>
      <c r="B30" s="216" t="s">
        <v>77</v>
      </c>
      <c r="C30" s="217"/>
      <c r="D30" s="211">
        <v>1</v>
      </c>
      <c r="E30" s="212">
        <v>3.45</v>
      </c>
      <c r="F30" s="211">
        <v>0.2</v>
      </c>
      <c r="G30" s="212">
        <f>ROUND(D30*E30*F30,2)</f>
        <v>0.69</v>
      </c>
    </row>
    <row r="31" spans="1:7" x14ac:dyDescent="0.25">
      <c r="A31" s="398" t="s">
        <v>33</v>
      </c>
      <c r="B31" s="398"/>
      <c r="C31" s="398"/>
      <c r="D31" s="398"/>
      <c r="E31" s="398"/>
      <c r="F31" s="398"/>
      <c r="G31" s="24">
        <f>SUM(G29:G30)</f>
        <v>1.37</v>
      </c>
    </row>
    <row r="32" spans="1:7" x14ac:dyDescent="0.25">
      <c r="A32" s="14"/>
      <c r="B32" s="102"/>
      <c r="C32" s="14"/>
      <c r="D32" s="16"/>
      <c r="E32" s="17"/>
      <c r="F32" s="16"/>
      <c r="G32" s="17"/>
    </row>
    <row r="33" spans="1:7" x14ac:dyDescent="0.25">
      <c r="A33" s="399" t="s">
        <v>34</v>
      </c>
      <c r="B33" s="400"/>
      <c r="C33" s="400"/>
      <c r="D33" s="400"/>
      <c r="E33" s="400"/>
      <c r="F33" s="400"/>
      <c r="G33" s="5">
        <f>G13+G20+G25+G31</f>
        <v>7.47</v>
      </c>
    </row>
    <row r="34" spans="1:7" x14ac:dyDescent="0.25">
      <c r="A34" s="108"/>
      <c r="B34" s="109"/>
      <c r="C34" s="109"/>
      <c r="D34" s="109"/>
      <c r="E34" s="109"/>
      <c r="F34" s="109"/>
      <c r="G34" s="5"/>
    </row>
    <row r="35" spans="1:7" x14ac:dyDescent="0.25">
      <c r="A35" s="401" t="s">
        <v>35</v>
      </c>
      <c r="B35" s="402"/>
      <c r="C35" s="402"/>
      <c r="D35" s="402"/>
      <c r="E35" s="402"/>
      <c r="F35" s="402"/>
      <c r="G35" s="403"/>
    </row>
    <row r="36" spans="1:7" x14ac:dyDescent="0.25">
      <c r="A36" s="399" t="s">
        <v>78</v>
      </c>
      <c r="B36" s="400"/>
      <c r="C36" s="400"/>
      <c r="D36" s="400"/>
      <c r="E36" s="400"/>
      <c r="F36" s="400"/>
      <c r="G36" s="5">
        <f>ROUND(0.21*G33,2)</f>
        <v>1.57</v>
      </c>
    </row>
    <row r="37" spans="1:7" x14ac:dyDescent="0.25">
      <c r="A37" s="14"/>
      <c r="B37" s="102"/>
      <c r="C37" s="14"/>
      <c r="D37" s="16"/>
      <c r="E37" s="17"/>
      <c r="F37" s="16"/>
      <c r="G37" s="17"/>
    </row>
    <row r="38" spans="1:7" x14ac:dyDescent="0.25">
      <c r="A38" s="391" t="s">
        <v>36</v>
      </c>
      <c r="B38" s="392"/>
      <c r="C38" s="392"/>
      <c r="D38" s="392"/>
      <c r="E38" s="392"/>
      <c r="F38" s="392"/>
      <c r="G38" s="200">
        <f>G33+G36</f>
        <v>9.0399999999999991</v>
      </c>
    </row>
  </sheetData>
  <mergeCells count="16">
    <mergeCell ref="A22:G22"/>
    <mergeCell ref="A1:F1"/>
    <mergeCell ref="B2:D2"/>
    <mergeCell ref="F2:G2"/>
    <mergeCell ref="A8:G8"/>
    <mergeCell ref="A10:G10"/>
    <mergeCell ref="A13:F13"/>
    <mergeCell ref="A15:G15"/>
    <mergeCell ref="A20:F20"/>
    <mergeCell ref="A38:F38"/>
    <mergeCell ref="A25:F25"/>
    <mergeCell ref="A27:G27"/>
    <mergeCell ref="A31:F31"/>
    <mergeCell ref="A33:F33"/>
    <mergeCell ref="A35:G35"/>
    <mergeCell ref="A36:F36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B6" sqref="B6:G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196">
        <f>Presupuesto!B21</f>
        <v>14</v>
      </c>
      <c r="C3" s="110"/>
      <c r="D3" s="110"/>
      <c r="E3" s="7"/>
      <c r="F3" s="111"/>
      <c r="G3" s="111"/>
    </row>
    <row r="4" spans="1:7" x14ac:dyDescent="0.25">
      <c r="A4" s="7" t="s">
        <v>13</v>
      </c>
      <c r="B4" s="410" t="str">
        <f>Presupuesto!C21</f>
        <v>514294M</v>
      </c>
      <c r="C4" s="405"/>
      <c r="D4" s="405"/>
      <c r="E4" s="405"/>
      <c r="F4" s="405"/>
      <c r="G4" s="405"/>
    </row>
    <row r="5" spans="1:7" x14ac:dyDescent="0.25">
      <c r="A5" s="7" t="s">
        <v>14</v>
      </c>
      <c r="B5" s="410" t="str">
        <f>Presupuesto!D21</f>
        <v>Codo PVC 110mm X 45° de uso sanitario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10" t="str">
        <f>Presupuesto!E21</f>
        <v>u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02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ROUND(0.05*G31,2)</f>
        <v>7.0000000000000007E-2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7.0000000000000007E-2</v>
      </c>
    </row>
    <row r="14" spans="1:7" x14ac:dyDescent="0.25">
      <c r="A14" s="14"/>
      <c r="B14" s="102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136</v>
      </c>
      <c r="B17" s="213" t="s">
        <v>137</v>
      </c>
      <c r="C17" s="201" t="s">
        <v>121</v>
      </c>
      <c r="D17" s="203">
        <v>1.7999999999999999E-2</v>
      </c>
      <c r="E17" s="204">
        <v>13.58</v>
      </c>
      <c r="F17" s="230"/>
      <c r="G17" s="204">
        <f>ROUND(D17*E17,2)</f>
        <v>0.24</v>
      </c>
    </row>
    <row r="18" spans="1:7" x14ac:dyDescent="0.25">
      <c r="A18" s="205" t="s">
        <v>138</v>
      </c>
      <c r="B18" s="214" t="s">
        <v>139</v>
      </c>
      <c r="C18" s="205" t="s">
        <v>121</v>
      </c>
      <c r="D18" s="207">
        <v>1.7999999999999999E-2</v>
      </c>
      <c r="E18" s="208">
        <v>8.23</v>
      </c>
      <c r="F18" s="231"/>
      <c r="G18" s="208">
        <f t="shared" ref="G18:G19" si="0">ROUND(D18*E18,2)</f>
        <v>0.15</v>
      </c>
    </row>
    <row r="19" spans="1:7" x14ac:dyDescent="0.25">
      <c r="A19" s="209" t="s">
        <v>140</v>
      </c>
      <c r="B19" s="216" t="s">
        <v>336</v>
      </c>
      <c r="C19" s="209" t="s">
        <v>48</v>
      </c>
      <c r="D19" s="211">
        <v>1.03</v>
      </c>
      <c r="E19" s="212">
        <f>5*1.14</f>
        <v>5.6999999999999993</v>
      </c>
      <c r="F19" s="232"/>
      <c r="G19" s="212">
        <f t="shared" si="0"/>
        <v>5.87</v>
      </c>
    </row>
    <row r="20" spans="1:7" x14ac:dyDescent="0.25">
      <c r="A20" s="398" t="s">
        <v>25</v>
      </c>
      <c r="B20" s="398"/>
      <c r="C20" s="398"/>
      <c r="D20" s="398"/>
      <c r="E20" s="398"/>
      <c r="F20" s="398"/>
      <c r="G20" s="24">
        <f>SUM(G17:G19)</f>
        <v>6.26</v>
      </c>
    </row>
    <row r="21" spans="1:7" x14ac:dyDescent="0.25">
      <c r="A21" s="14"/>
      <c r="B21" s="102"/>
      <c r="C21" s="14"/>
      <c r="D21" s="16"/>
      <c r="E21" s="17"/>
      <c r="F21" s="16"/>
      <c r="G21" s="17"/>
    </row>
    <row r="22" spans="1:7" x14ac:dyDescent="0.25">
      <c r="A22" s="395" t="s">
        <v>26</v>
      </c>
      <c r="B22" s="396"/>
      <c r="C22" s="396"/>
      <c r="D22" s="396"/>
      <c r="E22" s="396"/>
      <c r="F22" s="396"/>
      <c r="G22" s="397"/>
    </row>
    <row r="23" spans="1:7" x14ac:dyDescent="0.25">
      <c r="A23" s="27" t="s">
        <v>18</v>
      </c>
      <c r="B23" s="27" t="s">
        <v>19</v>
      </c>
      <c r="C23" s="27" t="s">
        <v>3</v>
      </c>
      <c r="D23" s="27" t="s">
        <v>4</v>
      </c>
      <c r="E23" s="27" t="s">
        <v>27</v>
      </c>
      <c r="F23" s="27" t="s">
        <v>28</v>
      </c>
      <c r="G23" s="27" t="s">
        <v>22</v>
      </c>
    </row>
    <row r="24" spans="1:7" x14ac:dyDescent="0.25">
      <c r="A24" s="22"/>
      <c r="B24" s="25"/>
      <c r="C24" s="22"/>
      <c r="D24" s="23"/>
      <c r="E24" s="24"/>
      <c r="F24" s="26"/>
      <c r="G24" s="21"/>
    </row>
    <row r="25" spans="1:7" x14ac:dyDescent="0.25">
      <c r="A25" s="393" t="s">
        <v>29</v>
      </c>
      <c r="B25" s="394"/>
      <c r="C25" s="394"/>
      <c r="D25" s="394"/>
      <c r="E25" s="394"/>
      <c r="F25" s="394"/>
      <c r="G25" s="24">
        <v>0</v>
      </c>
    </row>
    <row r="26" spans="1:7" x14ac:dyDescent="0.25">
      <c r="A26" s="14"/>
      <c r="B26" s="102"/>
      <c r="C26" s="14"/>
      <c r="D26" s="16"/>
      <c r="E26" s="17"/>
      <c r="F26" s="16"/>
      <c r="G26" s="17"/>
    </row>
    <row r="27" spans="1:7" x14ac:dyDescent="0.25">
      <c r="A27" s="395" t="s">
        <v>30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/>
      <c r="D28" s="27" t="s">
        <v>31</v>
      </c>
      <c r="E28" s="27" t="s">
        <v>32</v>
      </c>
      <c r="F28" s="27" t="s">
        <v>21</v>
      </c>
      <c r="G28" s="27" t="s">
        <v>22</v>
      </c>
    </row>
    <row r="29" spans="1:7" x14ac:dyDescent="0.25">
      <c r="A29" s="201" t="s">
        <v>74</v>
      </c>
      <c r="B29" s="213" t="s">
        <v>75</v>
      </c>
      <c r="C29" s="190"/>
      <c r="D29" s="203">
        <v>1</v>
      </c>
      <c r="E29" s="204">
        <v>3.41</v>
      </c>
      <c r="F29" s="203">
        <v>0.2</v>
      </c>
      <c r="G29" s="204">
        <f>ROUND(D29*E29*F29,2)</f>
        <v>0.68</v>
      </c>
    </row>
    <row r="30" spans="1:7" x14ac:dyDescent="0.25">
      <c r="A30" s="209" t="s">
        <v>76</v>
      </c>
      <c r="B30" s="216" t="s">
        <v>77</v>
      </c>
      <c r="C30" s="217"/>
      <c r="D30" s="211">
        <v>1</v>
      </c>
      <c r="E30" s="212">
        <v>3.45</v>
      </c>
      <c r="F30" s="211">
        <v>0.2</v>
      </c>
      <c r="G30" s="212">
        <f>ROUND(D30*E30*F30,2)</f>
        <v>0.69</v>
      </c>
    </row>
    <row r="31" spans="1:7" x14ac:dyDescent="0.25">
      <c r="A31" s="398" t="s">
        <v>33</v>
      </c>
      <c r="B31" s="398"/>
      <c r="C31" s="398"/>
      <c r="D31" s="398"/>
      <c r="E31" s="398"/>
      <c r="F31" s="398"/>
      <c r="G31" s="24">
        <f>SUM(G29:G30)</f>
        <v>1.37</v>
      </c>
    </row>
    <row r="32" spans="1:7" x14ac:dyDescent="0.25">
      <c r="A32" s="14"/>
      <c r="B32" s="102"/>
      <c r="C32" s="14"/>
      <c r="D32" s="16"/>
      <c r="E32" s="17"/>
      <c r="F32" s="16"/>
      <c r="G32" s="17"/>
    </row>
    <row r="33" spans="1:7" x14ac:dyDescent="0.25">
      <c r="A33" s="399" t="s">
        <v>34</v>
      </c>
      <c r="B33" s="400"/>
      <c r="C33" s="400"/>
      <c r="D33" s="400"/>
      <c r="E33" s="400"/>
      <c r="F33" s="400"/>
      <c r="G33" s="5">
        <f>G13+G20+G25+G31</f>
        <v>7.7</v>
      </c>
    </row>
    <row r="34" spans="1:7" x14ac:dyDescent="0.25">
      <c r="A34" s="108"/>
      <c r="B34" s="109"/>
      <c r="C34" s="109"/>
      <c r="D34" s="109"/>
      <c r="E34" s="109"/>
      <c r="F34" s="109"/>
      <c r="G34" s="5"/>
    </row>
    <row r="35" spans="1:7" x14ac:dyDescent="0.25">
      <c r="A35" s="401" t="s">
        <v>35</v>
      </c>
      <c r="B35" s="402"/>
      <c r="C35" s="402"/>
      <c r="D35" s="402"/>
      <c r="E35" s="402"/>
      <c r="F35" s="402"/>
      <c r="G35" s="403"/>
    </row>
    <row r="36" spans="1:7" x14ac:dyDescent="0.25">
      <c r="A36" s="399" t="s">
        <v>78</v>
      </c>
      <c r="B36" s="400"/>
      <c r="C36" s="400"/>
      <c r="D36" s="400"/>
      <c r="E36" s="400"/>
      <c r="F36" s="400"/>
      <c r="G36" s="5">
        <f>ROUND(0.21*G33,2)</f>
        <v>1.62</v>
      </c>
    </row>
    <row r="37" spans="1:7" x14ac:dyDescent="0.25">
      <c r="A37" s="14"/>
      <c r="B37" s="102"/>
      <c r="C37" s="14"/>
      <c r="D37" s="16"/>
      <c r="E37" s="17"/>
      <c r="F37" s="16"/>
      <c r="G37" s="17"/>
    </row>
    <row r="38" spans="1:7" x14ac:dyDescent="0.25">
      <c r="A38" s="391" t="s">
        <v>36</v>
      </c>
      <c r="B38" s="392"/>
      <c r="C38" s="392"/>
      <c r="D38" s="392"/>
      <c r="E38" s="392"/>
      <c r="F38" s="392"/>
      <c r="G38" s="200">
        <f>G33+G36</f>
        <v>9.32</v>
      </c>
    </row>
  </sheetData>
  <mergeCells count="19">
    <mergeCell ref="A22:G22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0:F20"/>
    <mergeCell ref="A38:F38"/>
    <mergeCell ref="A25:F25"/>
    <mergeCell ref="A27:G27"/>
    <mergeCell ref="A31:F31"/>
    <mergeCell ref="A33:F33"/>
    <mergeCell ref="A35:G35"/>
    <mergeCell ref="A36:F36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B5" sqref="B4:G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Presupuesto!B22</f>
        <v>15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Presupuesto!C22</f>
        <v>510006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Presupuesto!D22</f>
        <v>Relleno compactado a mano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Presupuesto!E22</f>
        <v>m3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ROUND(0.05*G28,2)</f>
        <v>0.27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0.27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19"/>
      <c r="B17" s="198"/>
      <c r="C17" s="19"/>
      <c r="D17" s="20"/>
      <c r="E17" s="21"/>
      <c r="F17" s="199"/>
      <c r="G17" s="21"/>
    </row>
    <row r="18" spans="1:7" x14ac:dyDescent="0.25">
      <c r="A18" s="398" t="s">
        <v>25</v>
      </c>
      <c r="B18" s="398"/>
      <c r="C18" s="398"/>
      <c r="D18" s="398"/>
      <c r="E18" s="398"/>
      <c r="F18" s="398"/>
      <c r="G18" s="24">
        <v>0</v>
      </c>
    </row>
    <row r="19" spans="1:7" x14ac:dyDescent="0.25">
      <c r="A19" s="14"/>
      <c r="B19" s="15"/>
      <c r="C19" s="14"/>
      <c r="D19" s="16"/>
      <c r="E19" s="17"/>
      <c r="F19" s="16"/>
      <c r="G19" s="17"/>
    </row>
    <row r="20" spans="1:7" x14ac:dyDescent="0.25">
      <c r="A20" s="395" t="s">
        <v>26</v>
      </c>
      <c r="B20" s="396"/>
      <c r="C20" s="396"/>
      <c r="D20" s="396"/>
      <c r="E20" s="396"/>
      <c r="F20" s="396"/>
      <c r="G20" s="397"/>
    </row>
    <row r="21" spans="1:7" x14ac:dyDescent="0.25">
      <c r="A21" s="27" t="s">
        <v>18</v>
      </c>
      <c r="B21" s="27" t="s">
        <v>19</v>
      </c>
      <c r="C21" s="27" t="s">
        <v>3</v>
      </c>
      <c r="D21" s="27" t="s">
        <v>4</v>
      </c>
      <c r="E21" s="27" t="s">
        <v>27</v>
      </c>
      <c r="F21" s="27" t="s">
        <v>28</v>
      </c>
      <c r="G21" s="27" t="s">
        <v>22</v>
      </c>
    </row>
    <row r="22" spans="1:7" x14ac:dyDescent="0.25">
      <c r="A22" s="22"/>
      <c r="B22" s="25"/>
      <c r="C22" s="22"/>
      <c r="D22" s="23"/>
      <c r="E22" s="24"/>
      <c r="F22" s="26"/>
      <c r="G22" s="21"/>
    </row>
    <row r="23" spans="1:7" x14ac:dyDescent="0.25">
      <c r="A23" s="393" t="s">
        <v>29</v>
      </c>
      <c r="B23" s="394"/>
      <c r="C23" s="394"/>
      <c r="D23" s="394"/>
      <c r="E23" s="394"/>
      <c r="F23" s="394"/>
      <c r="G23" s="24">
        <v>0</v>
      </c>
    </row>
    <row r="24" spans="1:7" x14ac:dyDescent="0.25">
      <c r="A24" s="14"/>
      <c r="B24" s="15"/>
      <c r="C24" s="14"/>
      <c r="D24" s="16"/>
      <c r="E24" s="17"/>
      <c r="F24" s="16"/>
      <c r="G24" s="17"/>
    </row>
    <row r="25" spans="1:7" x14ac:dyDescent="0.25">
      <c r="A25" s="395" t="s">
        <v>30</v>
      </c>
      <c r="B25" s="396"/>
      <c r="C25" s="396"/>
      <c r="D25" s="396"/>
      <c r="E25" s="396"/>
      <c r="F25" s="396"/>
      <c r="G25" s="397"/>
    </row>
    <row r="26" spans="1:7" x14ac:dyDescent="0.25">
      <c r="A26" s="27" t="s">
        <v>18</v>
      </c>
      <c r="B26" s="27" t="s">
        <v>19</v>
      </c>
      <c r="C26" s="27"/>
      <c r="D26" s="27" t="s">
        <v>31</v>
      </c>
      <c r="E26" s="27" t="s">
        <v>32</v>
      </c>
      <c r="F26" s="27" t="s">
        <v>21</v>
      </c>
      <c r="G26" s="27" t="s">
        <v>22</v>
      </c>
    </row>
    <row r="27" spans="1:7" x14ac:dyDescent="0.25">
      <c r="A27" s="19" t="s">
        <v>74</v>
      </c>
      <c r="B27" s="198" t="s">
        <v>75</v>
      </c>
      <c r="C27" s="188"/>
      <c r="D27" s="20">
        <v>1</v>
      </c>
      <c r="E27" s="21">
        <v>3.41</v>
      </c>
      <c r="F27" s="20">
        <v>1.6</v>
      </c>
      <c r="G27" s="21">
        <f>ROUND(D27*E27*F27,2)</f>
        <v>5.46</v>
      </c>
    </row>
    <row r="28" spans="1:7" x14ac:dyDescent="0.25">
      <c r="A28" s="398" t="s">
        <v>33</v>
      </c>
      <c r="B28" s="398"/>
      <c r="C28" s="398"/>
      <c r="D28" s="398"/>
      <c r="E28" s="398"/>
      <c r="F28" s="398"/>
      <c r="G28" s="24">
        <f>G27</f>
        <v>5.46</v>
      </c>
    </row>
    <row r="29" spans="1:7" x14ac:dyDescent="0.25">
      <c r="A29" s="14"/>
      <c r="B29" s="15"/>
      <c r="C29" s="14"/>
      <c r="D29" s="16"/>
      <c r="E29" s="17"/>
      <c r="F29" s="16"/>
      <c r="G29" s="17"/>
    </row>
    <row r="30" spans="1:7" x14ac:dyDescent="0.25">
      <c r="A30" s="399" t="s">
        <v>34</v>
      </c>
      <c r="B30" s="400"/>
      <c r="C30" s="400"/>
      <c r="D30" s="400"/>
      <c r="E30" s="400"/>
      <c r="F30" s="400"/>
      <c r="G30" s="5">
        <f>+G28+G23+G18+G13</f>
        <v>5.73</v>
      </c>
    </row>
    <row r="31" spans="1:7" x14ac:dyDescent="0.25">
      <c r="A31" s="28"/>
      <c r="B31" s="29"/>
      <c r="C31" s="29"/>
      <c r="D31" s="29"/>
      <c r="E31" s="29"/>
      <c r="F31" s="29"/>
      <c r="G31" s="5"/>
    </row>
    <row r="32" spans="1:7" x14ac:dyDescent="0.25">
      <c r="A32" s="401" t="s">
        <v>35</v>
      </c>
      <c r="B32" s="402"/>
      <c r="C32" s="402"/>
      <c r="D32" s="402"/>
      <c r="E32" s="402"/>
      <c r="F32" s="402"/>
      <c r="G32" s="403"/>
    </row>
    <row r="33" spans="1:7" x14ac:dyDescent="0.25">
      <c r="A33" s="399" t="s">
        <v>78</v>
      </c>
      <c r="B33" s="400"/>
      <c r="C33" s="400"/>
      <c r="D33" s="400"/>
      <c r="E33" s="400"/>
      <c r="F33" s="400"/>
      <c r="G33" s="5">
        <f>ROUND(0.21*G30,2)</f>
        <v>1.2</v>
      </c>
    </row>
    <row r="34" spans="1:7" x14ac:dyDescent="0.25">
      <c r="A34" s="14"/>
      <c r="B34" s="15"/>
      <c r="C34" s="14"/>
      <c r="D34" s="16"/>
      <c r="E34" s="17"/>
      <c r="F34" s="16"/>
      <c r="G34" s="17"/>
    </row>
    <row r="35" spans="1:7" x14ac:dyDescent="0.25">
      <c r="A35" s="391" t="s">
        <v>36</v>
      </c>
      <c r="B35" s="392"/>
      <c r="C35" s="392"/>
      <c r="D35" s="392"/>
      <c r="E35" s="392"/>
      <c r="F35" s="392"/>
      <c r="G35" s="200">
        <f>G30+G33</f>
        <v>6.9300000000000006</v>
      </c>
    </row>
  </sheetData>
  <mergeCells count="19"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  <mergeCell ref="A35:F35"/>
    <mergeCell ref="A23:F23"/>
    <mergeCell ref="A25:G25"/>
    <mergeCell ref="A28:F28"/>
    <mergeCell ref="A30:F30"/>
    <mergeCell ref="A32:G32"/>
    <mergeCell ref="A33:F33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16" workbookViewId="0">
      <selection activeCell="E22" sqref="E22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4" width="11.5546875" style="32"/>
    <col min="5" max="5" width="11.5546875" style="32" customWidth="1"/>
    <col min="6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99">
        <f>Presupuesto!B23</f>
        <v>16</v>
      </c>
      <c r="C3" s="97"/>
      <c r="D3" s="97"/>
      <c r="E3" s="37"/>
      <c r="F3" s="98"/>
      <c r="G3" s="98"/>
    </row>
    <row r="4" spans="1:7" x14ac:dyDescent="0.25">
      <c r="A4" s="37" t="s">
        <v>13</v>
      </c>
      <c r="B4" s="255" t="str">
        <f>Presupuesto!C23</f>
        <v>507287</v>
      </c>
      <c r="C4" s="124"/>
      <c r="D4" s="124"/>
      <c r="E4" s="124"/>
      <c r="F4" s="124"/>
      <c r="G4" s="124"/>
    </row>
    <row r="5" spans="1:7" x14ac:dyDescent="0.25">
      <c r="A5" s="37" t="s">
        <v>14</v>
      </c>
      <c r="B5" s="254" t="str">
        <f>Presupuesto!D23</f>
        <v>Cimientos de hormigón ciclópeo f´c=180 Kg/cm2</v>
      </c>
      <c r="C5" s="187"/>
      <c r="D5" s="187"/>
      <c r="E5" s="187"/>
      <c r="F5" s="187"/>
      <c r="G5" s="187"/>
    </row>
    <row r="6" spans="1:7" x14ac:dyDescent="0.25">
      <c r="A6" s="37" t="s">
        <v>15</v>
      </c>
      <c r="B6" s="254" t="str">
        <f>Presupuesto!E23</f>
        <v>m3</v>
      </c>
      <c r="C6" s="187"/>
      <c r="D6" s="187"/>
      <c r="E6" s="187"/>
      <c r="F6" s="187"/>
      <c r="G6" s="187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167" t="s">
        <v>279</v>
      </c>
      <c r="B12" s="168" t="s">
        <v>280</v>
      </c>
      <c r="C12" s="167" t="s">
        <v>85</v>
      </c>
      <c r="D12" s="169">
        <v>1</v>
      </c>
      <c r="E12" s="170">
        <v>3.75</v>
      </c>
      <c r="F12" s="169">
        <v>0.76900000000000002</v>
      </c>
      <c r="G12" s="170">
        <f>ROUND(D12*E12*F12,2)</f>
        <v>2.88</v>
      </c>
    </row>
    <row r="13" spans="1:7" x14ac:dyDescent="0.25">
      <c r="A13" s="171" t="s">
        <v>79</v>
      </c>
      <c r="B13" s="172" t="s">
        <v>80</v>
      </c>
      <c r="C13" s="171" t="s">
        <v>81</v>
      </c>
      <c r="D13" s="173" t="s">
        <v>106</v>
      </c>
      <c r="E13" s="174"/>
      <c r="F13" s="173"/>
      <c r="G13" s="174">
        <f>ROUND(0.05*G35,2)</f>
        <v>1.2</v>
      </c>
    </row>
    <row r="14" spans="1:7" x14ac:dyDescent="0.25">
      <c r="A14" s="378" t="s">
        <v>23</v>
      </c>
      <c r="B14" s="378"/>
      <c r="C14" s="378"/>
      <c r="D14" s="378"/>
      <c r="E14" s="378"/>
      <c r="F14" s="378"/>
      <c r="G14" s="56">
        <f>SUM(G12:G13)</f>
        <v>4.08</v>
      </c>
    </row>
    <row r="15" spans="1:7" x14ac:dyDescent="0.25">
      <c r="A15" s="45"/>
      <c r="B15" s="46"/>
      <c r="C15" s="45"/>
      <c r="D15" s="47"/>
      <c r="E15" s="48"/>
      <c r="F15" s="47"/>
      <c r="G15" s="48"/>
    </row>
    <row r="16" spans="1:7" x14ac:dyDescent="0.25">
      <c r="A16" s="380" t="s">
        <v>24</v>
      </c>
      <c r="B16" s="381"/>
      <c r="C16" s="381"/>
      <c r="D16" s="381"/>
      <c r="E16" s="381"/>
      <c r="F16" s="381"/>
      <c r="G16" s="382"/>
    </row>
    <row r="17" spans="1:7" x14ac:dyDescent="0.25">
      <c r="A17" s="72" t="s">
        <v>18</v>
      </c>
      <c r="B17" s="72" t="s">
        <v>19</v>
      </c>
      <c r="C17" s="72" t="s">
        <v>3</v>
      </c>
      <c r="D17" s="233" t="s">
        <v>4</v>
      </c>
      <c r="E17" s="159" t="s">
        <v>20</v>
      </c>
      <c r="F17" s="57"/>
      <c r="G17" s="159" t="s">
        <v>22</v>
      </c>
    </row>
    <row r="18" spans="1:7" x14ac:dyDescent="0.25">
      <c r="A18" s="167" t="s">
        <v>107</v>
      </c>
      <c r="B18" s="175" t="s">
        <v>108</v>
      </c>
      <c r="C18" s="167" t="s">
        <v>109</v>
      </c>
      <c r="D18" s="169">
        <v>3.6</v>
      </c>
      <c r="E18" s="170">
        <v>7.15</v>
      </c>
      <c r="F18" s="176"/>
      <c r="G18" s="170">
        <f>ROUND(D18*E18,2)</f>
        <v>25.74</v>
      </c>
    </row>
    <row r="19" spans="1:7" x14ac:dyDescent="0.25">
      <c r="A19" s="177" t="s">
        <v>112</v>
      </c>
      <c r="B19" s="178" t="s">
        <v>113</v>
      </c>
      <c r="C19" s="177" t="s">
        <v>43</v>
      </c>
      <c r="D19" s="179">
        <v>0.36</v>
      </c>
      <c r="E19" s="180">
        <v>15</v>
      </c>
      <c r="F19" s="181"/>
      <c r="G19" s="180">
        <f t="shared" ref="G19:G22" si="0">ROUND(D19*E19,2)</f>
        <v>5.4</v>
      </c>
    </row>
    <row r="20" spans="1:7" x14ac:dyDescent="0.25">
      <c r="A20" s="177" t="s">
        <v>110</v>
      </c>
      <c r="B20" s="178" t="s">
        <v>111</v>
      </c>
      <c r="C20" s="177" t="s">
        <v>43</v>
      </c>
      <c r="D20" s="179">
        <v>0.56999999999999995</v>
      </c>
      <c r="E20" s="180">
        <v>16.5</v>
      </c>
      <c r="F20" s="181"/>
      <c r="G20" s="180">
        <f t="shared" si="0"/>
        <v>9.41</v>
      </c>
    </row>
    <row r="21" spans="1:7" x14ac:dyDescent="0.25">
      <c r="A21" s="177" t="s">
        <v>305</v>
      </c>
      <c r="B21" s="178" t="s">
        <v>306</v>
      </c>
      <c r="C21" s="177" t="s">
        <v>43</v>
      </c>
      <c r="D21" s="179">
        <v>0.4</v>
      </c>
      <c r="E21" s="180">
        <v>16.5</v>
      </c>
      <c r="F21" s="181"/>
      <c r="G21" s="180">
        <f t="shared" si="0"/>
        <v>6.6</v>
      </c>
    </row>
    <row r="22" spans="1:7" x14ac:dyDescent="0.25">
      <c r="A22" s="249" t="s">
        <v>119</v>
      </c>
      <c r="B22" s="250" t="s">
        <v>120</v>
      </c>
      <c r="C22" s="249" t="s">
        <v>121</v>
      </c>
      <c r="D22" s="251">
        <v>60</v>
      </c>
      <c r="E22" s="252">
        <v>1.0300000000000001E-3</v>
      </c>
      <c r="F22" s="253"/>
      <c r="G22" s="174">
        <f t="shared" si="0"/>
        <v>0.06</v>
      </c>
    </row>
    <row r="23" spans="1:7" x14ac:dyDescent="0.25">
      <c r="A23" s="411" t="s">
        <v>25</v>
      </c>
      <c r="B23" s="411"/>
      <c r="C23" s="411"/>
      <c r="D23" s="411"/>
      <c r="E23" s="411"/>
      <c r="F23" s="411"/>
      <c r="G23" s="56">
        <f>SUM(G18:G22)</f>
        <v>47.21</v>
      </c>
    </row>
    <row r="24" spans="1:7" x14ac:dyDescent="0.25">
      <c r="A24" s="45"/>
      <c r="B24" s="46"/>
      <c r="C24" s="45"/>
      <c r="D24" s="47"/>
      <c r="E24" s="48"/>
      <c r="F24" s="47"/>
      <c r="G24" s="48"/>
    </row>
    <row r="25" spans="1:7" x14ac:dyDescent="0.25">
      <c r="A25" s="380" t="s">
        <v>26</v>
      </c>
      <c r="B25" s="381"/>
      <c r="C25" s="381"/>
      <c r="D25" s="381"/>
      <c r="E25" s="381"/>
      <c r="F25" s="381"/>
      <c r="G25" s="382"/>
    </row>
    <row r="26" spans="1:7" x14ac:dyDescent="0.25">
      <c r="A26" s="72" t="s">
        <v>18</v>
      </c>
      <c r="B26" s="72" t="s">
        <v>19</v>
      </c>
      <c r="C26" s="72" t="s">
        <v>3</v>
      </c>
      <c r="D26" s="72" t="s">
        <v>4</v>
      </c>
      <c r="E26" s="72" t="s">
        <v>27</v>
      </c>
      <c r="F26" s="72" t="s">
        <v>28</v>
      </c>
      <c r="G26" s="72" t="s">
        <v>22</v>
      </c>
    </row>
    <row r="27" spans="1:7" x14ac:dyDescent="0.25">
      <c r="A27" s="54"/>
      <c r="B27" s="53"/>
      <c r="C27" s="54"/>
      <c r="D27" s="55"/>
      <c r="E27" s="56"/>
      <c r="F27" s="57"/>
      <c r="G27" s="52"/>
    </row>
    <row r="28" spans="1:7" x14ac:dyDescent="0.25">
      <c r="A28" s="412" t="s">
        <v>29</v>
      </c>
      <c r="B28" s="413"/>
      <c r="C28" s="413"/>
      <c r="D28" s="413"/>
      <c r="E28" s="413"/>
      <c r="F28" s="413"/>
      <c r="G28" s="56">
        <v>0</v>
      </c>
    </row>
    <row r="29" spans="1:7" x14ac:dyDescent="0.25">
      <c r="A29" s="45"/>
      <c r="B29" s="46"/>
      <c r="C29" s="45"/>
      <c r="D29" s="47"/>
      <c r="E29" s="48"/>
      <c r="F29" s="47"/>
      <c r="G29" s="48"/>
    </row>
    <row r="30" spans="1:7" x14ac:dyDescent="0.25">
      <c r="A30" s="380" t="s">
        <v>30</v>
      </c>
      <c r="B30" s="381"/>
      <c r="C30" s="381"/>
      <c r="D30" s="381"/>
      <c r="E30" s="381"/>
      <c r="F30" s="381"/>
      <c r="G30" s="382"/>
    </row>
    <row r="31" spans="1:7" x14ac:dyDescent="0.25">
      <c r="A31" s="72" t="s">
        <v>18</v>
      </c>
      <c r="B31" s="72" t="s">
        <v>19</v>
      </c>
      <c r="C31" s="72"/>
      <c r="D31" s="72" t="s">
        <v>31</v>
      </c>
      <c r="E31" s="72" t="s">
        <v>32</v>
      </c>
      <c r="F31" s="72" t="s">
        <v>21</v>
      </c>
      <c r="G31" s="72" t="s">
        <v>22</v>
      </c>
    </row>
    <row r="32" spans="1:7" x14ac:dyDescent="0.25">
      <c r="A32" s="167" t="s">
        <v>74</v>
      </c>
      <c r="B32" s="175" t="s">
        <v>75</v>
      </c>
      <c r="C32" s="184"/>
      <c r="D32" s="169">
        <v>6</v>
      </c>
      <c r="E32" s="170">
        <v>3.41</v>
      </c>
      <c r="F32" s="169">
        <v>0.76900000000000002</v>
      </c>
      <c r="G32" s="170">
        <f>ROUND(D32*E32*F32,2)</f>
        <v>15.73</v>
      </c>
    </row>
    <row r="33" spans="1:7" x14ac:dyDescent="0.25">
      <c r="A33" s="177" t="s">
        <v>76</v>
      </c>
      <c r="B33" s="178" t="s">
        <v>77</v>
      </c>
      <c r="C33" s="185"/>
      <c r="D33" s="179">
        <v>2</v>
      </c>
      <c r="E33" s="180">
        <v>3.45</v>
      </c>
      <c r="F33" s="179">
        <v>0.76900000000000002</v>
      </c>
      <c r="G33" s="180">
        <f t="shared" ref="G33:G34" si="1">ROUND(D33*E33*F33,2)</f>
        <v>5.31</v>
      </c>
    </row>
    <row r="34" spans="1:7" x14ac:dyDescent="0.25">
      <c r="A34" s="171" t="s">
        <v>90</v>
      </c>
      <c r="B34" s="182" t="s">
        <v>91</v>
      </c>
      <c r="C34" s="186"/>
      <c r="D34" s="173">
        <v>1</v>
      </c>
      <c r="E34" s="174">
        <v>3.83</v>
      </c>
      <c r="F34" s="173">
        <v>0.76900000000000002</v>
      </c>
      <c r="G34" s="174">
        <f t="shared" si="1"/>
        <v>2.95</v>
      </c>
    </row>
    <row r="35" spans="1:7" x14ac:dyDescent="0.25">
      <c r="A35" s="378" t="s">
        <v>33</v>
      </c>
      <c r="B35" s="378"/>
      <c r="C35" s="378"/>
      <c r="D35" s="378"/>
      <c r="E35" s="378"/>
      <c r="F35" s="378"/>
      <c r="G35" s="56">
        <f>SUM(G32:G34)</f>
        <v>23.99</v>
      </c>
    </row>
    <row r="36" spans="1:7" x14ac:dyDescent="0.25">
      <c r="A36" s="45"/>
      <c r="B36" s="46"/>
      <c r="C36" s="45"/>
      <c r="D36" s="47"/>
      <c r="E36" s="48"/>
      <c r="F36" s="47"/>
      <c r="G36" s="48"/>
    </row>
    <row r="37" spans="1:7" x14ac:dyDescent="0.25">
      <c r="A37" s="383" t="s">
        <v>34</v>
      </c>
      <c r="B37" s="384"/>
      <c r="C37" s="384"/>
      <c r="D37" s="384"/>
      <c r="E37" s="384"/>
      <c r="F37" s="384"/>
      <c r="G37" s="58">
        <f>G35+G28+G23+G14</f>
        <v>75.28</v>
      </c>
    </row>
    <row r="38" spans="1:7" x14ac:dyDescent="0.25">
      <c r="A38" s="100"/>
      <c r="B38" s="101"/>
      <c r="C38" s="101"/>
      <c r="D38" s="101"/>
      <c r="E38" s="101"/>
      <c r="F38" s="101"/>
      <c r="G38" s="58"/>
    </row>
    <row r="39" spans="1:7" x14ac:dyDescent="0.25">
      <c r="A39" s="385" t="s">
        <v>35</v>
      </c>
      <c r="B39" s="386"/>
      <c r="C39" s="386"/>
      <c r="D39" s="386"/>
      <c r="E39" s="386"/>
      <c r="F39" s="386"/>
      <c r="G39" s="387"/>
    </row>
    <row r="40" spans="1:7" x14ac:dyDescent="0.25">
      <c r="A40" s="383" t="s">
        <v>78</v>
      </c>
      <c r="B40" s="384"/>
      <c r="C40" s="384"/>
      <c r="D40" s="384"/>
      <c r="E40" s="384"/>
      <c r="F40" s="384"/>
      <c r="G40" s="58">
        <f>ROUND(G37*0.21,2)</f>
        <v>15.81</v>
      </c>
    </row>
    <row r="41" spans="1:7" x14ac:dyDescent="0.25">
      <c r="A41" s="45"/>
      <c r="B41" s="46"/>
      <c r="C41" s="45"/>
      <c r="D41" s="47"/>
      <c r="E41" s="48"/>
      <c r="F41" s="47"/>
      <c r="G41" s="48"/>
    </row>
    <row r="42" spans="1:7" x14ac:dyDescent="0.25">
      <c r="A42" s="376" t="s">
        <v>36</v>
      </c>
      <c r="B42" s="377"/>
      <c r="C42" s="377"/>
      <c r="D42" s="377"/>
      <c r="E42" s="377"/>
      <c r="F42" s="377"/>
      <c r="G42" s="166">
        <f>G37+G40</f>
        <v>91.09</v>
      </c>
    </row>
  </sheetData>
  <mergeCells count="16">
    <mergeCell ref="A42:F42"/>
    <mergeCell ref="A28:F28"/>
    <mergeCell ref="A30:G30"/>
    <mergeCell ref="A35:F35"/>
    <mergeCell ref="A37:F37"/>
    <mergeCell ref="A39:G39"/>
    <mergeCell ref="A40:F40"/>
    <mergeCell ref="A25:G25"/>
    <mergeCell ref="A1:F1"/>
    <mergeCell ref="B2:D2"/>
    <mergeCell ref="F2:G2"/>
    <mergeCell ref="A8:G8"/>
    <mergeCell ref="A10:G10"/>
    <mergeCell ref="A14:F14"/>
    <mergeCell ref="A16:G16"/>
    <mergeCell ref="A23:F23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16" workbookViewId="0">
      <selection activeCell="E22" sqref="E22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81">
        <f>Presupuesto!B24</f>
        <v>17</v>
      </c>
      <c r="C3" s="79"/>
      <c r="D3" s="79"/>
      <c r="E3" s="37"/>
      <c r="F3" s="80"/>
      <c r="G3" s="80"/>
    </row>
    <row r="4" spans="1:7" x14ac:dyDescent="0.25">
      <c r="A4" s="37" t="s">
        <v>13</v>
      </c>
      <c r="B4" s="254" t="str">
        <f>Presupuesto!C24</f>
        <v>507280M</v>
      </c>
      <c r="C4" s="187"/>
      <c r="D4" s="187"/>
      <c r="E4" s="187"/>
      <c r="F4" s="187"/>
      <c r="G4" s="187"/>
    </row>
    <row r="5" spans="1:7" x14ac:dyDescent="0.25">
      <c r="A5" s="37" t="s">
        <v>14</v>
      </c>
      <c r="B5" s="229" t="str">
        <f>Presupuesto!D24</f>
        <v>Hormigón en contrapiso f'c=180 kg/cm2</v>
      </c>
      <c r="C5" s="187"/>
      <c r="D5" s="187"/>
      <c r="E5" s="187"/>
      <c r="F5" s="187"/>
      <c r="G5" s="187"/>
    </row>
    <row r="6" spans="1:7" x14ac:dyDescent="0.25">
      <c r="A6" s="37" t="s">
        <v>15</v>
      </c>
      <c r="B6" s="254" t="str">
        <f>Presupuesto!E24</f>
        <v>m3</v>
      </c>
      <c r="C6" s="187"/>
      <c r="D6" s="187"/>
      <c r="E6" s="187"/>
      <c r="F6" s="187"/>
      <c r="G6" s="187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167" t="s">
        <v>279</v>
      </c>
      <c r="B12" s="168" t="s">
        <v>280</v>
      </c>
      <c r="C12" s="167" t="s">
        <v>85</v>
      </c>
      <c r="D12" s="169">
        <v>1</v>
      </c>
      <c r="E12" s="170">
        <v>3.75</v>
      </c>
      <c r="F12" s="169">
        <v>0.91</v>
      </c>
      <c r="G12" s="170">
        <f>ROUND(D12*E12*F12,2)</f>
        <v>3.41</v>
      </c>
    </row>
    <row r="13" spans="1:7" x14ac:dyDescent="0.25">
      <c r="A13" s="177" t="s">
        <v>281</v>
      </c>
      <c r="B13" s="241" t="s">
        <v>282</v>
      </c>
      <c r="C13" s="177" t="s">
        <v>85</v>
      </c>
      <c r="D13" s="179">
        <v>1</v>
      </c>
      <c r="E13" s="180">
        <v>3.15</v>
      </c>
      <c r="F13" s="179">
        <v>0.91</v>
      </c>
      <c r="G13" s="180">
        <f>ROUND(D13*E13*F13,2)</f>
        <v>2.87</v>
      </c>
    </row>
    <row r="14" spans="1:7" x14ac:dyDescent="0.25">
      <c r="A14" s="171" t="s">
        <v>79</v>
      </c>
      <c r="B14" s="172" t="s">
        <v>80</v>
      </c>
      <c r="C14" s="171" t="s">
        <v>81</v>
      </c>
      <c r="D14" s="173" t="s">
        <v>106</v>
      </c>
      <c r="E14" s="174"/>
      <c r="F14" s="173"/>
      <c r="G14" s="174">
        <f>ROUND(0.05*G35,2)</f>
        <v>2.04</v>
      </c>
    </row>
    <row r="15" spans="1:7" x14ac:dyDescent="0.25">
      <c r="A15" s="378" t="s">
        <v>23</v>
      </c>
      <c r="B15" s="378"/>
      <c r="C15" s="378"/>
      <c r="D15" s="378"/>
      <c r="E15" s="378"/>
      <c r="F15" s="378"/>
      <c r="G15" s="56">
        <f>SUM(G12:G14)</f>
        <v>8.32</v>
      </c>
    </row>
    <row r="16" spans="1:7" x14ac:dyDescent="0.25">
      <c r="A16" s="45"/>
      <c r="B16" s="46"/>
      <c r="C16" s="45"/>
      <c r="D16" s="47"/>
      <c r="E16" s="48"/>
      <c r="F16" s="47"/>
      <c r="G16" s="48"/>
    </row>
    <row r="17" spans="1:7" x14ac:dyDescent="0.25">
      <c r="A17" s="380" t="s">
        <v>24</v>
      </c>
      <c r="B17" s="381"/>
      <c r="C17" s="381"/>
      <c r="D17" s="381"/>
      <c r="E17" s="381"/>
      <c r="F17" s="381"/>
      <c r="G17" s="382"/>
    </row>
    <row r="18" spans="1:7" x14ac:dyDescent="0.25">
      <c r="A18" s="72" t="s">
        <v>18</v>
      </c>
      <c r="B18" s="72" t="s">
        <v>19</v>
      </c>
      <c r="C18" s="72" t="s">
        <v>3</v>
      </c>
      <c r="D18" s="233" t="s">
        <v>4</v>
      </c>
      <c r="E18" s="159" t="s">
        <v>20</v>
      </c>
      <c r="F18" s="57"/>
      <c r="G18" s="159" t="s">
        <v>22</v>
      </c>
    </row>
    <row r="19" spans="1:7" x14ac:dyDescent="0.25">
      <c r="A19" s="167" t="s">
        <v>107</v>
      </c>
      <c r="B19" s="175" t="s">
        <v>108</v>
      </c>
      <c r="C19" s="167" t="s">
        <v>109</v>
      </c>
      <c r="D19" s="169">
        <v>6</v>
      </c>
      <c r="E19" s="170">
        <v>7.15</v>
      </c>
      <c r="F19" s="176"/>
      <c r="G19" s="170">
        <f>ROUND(D19*E19,2)</f>
        <v>42.9</v>
      </c>
    </row>
    <row r="20" spans="1:7" x14ac:dyDescent="0.25">
      <c r="A20" s="177" t="s">
        <v>112</v>
      </c>
      <c r="B20" s="178" t="s">
        <v>113</v>
      </c>
      <c r="C20" s="177" t="s">
        <v>43</v>
      </c>
      <c r="D20" s="179">
        <v>0.6</v>
      </c>
      <c r="E20" s="180">
        <v>15</v>
      </c>
      <c r="F20" s="181"/>
      <c r="G20" s="180">
        <f t="shared" ref="G20:G22" si="0">ROUND(D20*E20,2)</f>
        <v>9</v>
      </c>
    </row>
    <row r="21" spans="1:7" x14ac:dyDescent="0.25">
      <c r="A21" s="177" t="s">
        <v>110</v>
      </c>
      <c r="B21" s="178" t="s">
        <v>111</v>
      </c>
      <c r="C21" s="177" t="s">
        <v>43</v>
      </c>
      <c r="D21" s="179">
        <v>0.96</v>
      </c>
      <c r="E21" s="180">
        <v>16.5</v>
      </c>
      <c r="F21" s="181"/>
      <c r="G21" s="180">
        <f t="shared" si="0"/>
        <v>15.84</v>
      </c>
    </row>
    <row r="22" spans="1:7" x14ac:dyDescent="0.25">
      <c r="A22" s="249" t="s">
        <v>119</v>
      </c>
      <c r="B22" s="250" t="s">
        <v>120</v>
      </c>
      <c r="C22" s="249" t="s">
        <v>121</v>
      </c>
      <c r="D22" s="251">
        <v>136</v>
      </c>
      <c r="E22" s="252">
        <v>1.0300000000000001E-3</v>
      </c>
      <c r="F22" s="253"/>
      <c r="G22" s="174">
        <f t="shared" si="0"/>
        <v>0.14000000000000001</v>
      </c>
    </row>
    <row r="23" spans="1:7" x14ac:dyDescent="0.25">
      <c r="A23" s="378" t="s">
        <v>25</v>
      </c>
      <c r="B23" s="378"/>
      <c r="C23" s="378"/>
      <c r="D23" s="378"/>
      <c r="E23" s="378"/>
      <c r="F23" s="378"/>
      <c r="G23" s="56">
        <f>SUM(G19:G22)</f>
        <v>67.88</v>
      </c>
    </row>
    <row r="24" spans="1:7" x14ac:dyDescent="0.25">
      <c r="A24" s="45"/>
      <c r="B24" s="46"/>
      <c r="C24" s="45"/>
      <c r="D24" s="47"/>
      <c r="E24" s="48"/>
      <c r="F24" s="47"/>
      <c r="G24" s="48"/>
    </row>
    <row r="25" spans="1:7" x14ac:dyDescent="0.25">
      <c r="A25" s="380" t="s">
        <v>26</v>
      </c>
      <c r="B25" s="381"/>
      <c r="C25" s="381"/>
      <c r="D25" s="381"/>
      <c r="E25" s="381"/>
      <c r="F25" s="381"/>
      <c r="G25" s="382"/>
    </row>
    <row r="26" spans="1:7" x14ac:dyDescent="0.25">
      <c r="A26" s="72" t="s">
        <v>18</v>
      </c>
      <c r="B26" s="72" t="s">
        <v>19</v>
      </c>
      <c r="C26" s="72" t="s">
        <v>3</v>
      </c>
      <c r="D26" s="72" t="s">
        <v>4</v>
      </c>
      <c r="E26" s="72" t="s">
        <v>27</v>
      </c>
      <c r="F26" s="72" t="s">
        <v>28</v>
      </c>
      <c r="G26" s="72" t="s">
        <v>22</v>
      </c>
    </row>
    <row r="27" spans="1:7" x14ac:dyDescent="0.25">
      <c r="A27" s="54"/>
      <c r="B27" s="53"/>
      <c r="C27" s="54"/>
      <c r="D27" s="55"/>
      <c r="E27" s="56"/>
      <c r="F27" s="57"/>
      <c r="G27" s="52"/>
    </row>
    <row r="28" spans="1:7" x14ac:dyDescent="0.25">
      <c r="A28" s="412" t="s">
        <v>29</v>
      </c>
      <c r="B28" s="413"/>
      <c r="C28" s="413"/>
      <c r="D28" s="413"/>
      <c r="E28" s="413"/>
      <c r="F28" s="413"/>
      <c r="G28" s="56">
        <v>0</v>
      </c>
    </row>
    <row r="29" spans="1:7" x14ac:dyDescent="0.25">
      <c r="A29" s="45"/>
      <c r="B29" s="46"/>
      <c r="C29" s="45"/>
      <c r="D29" s="47"/>
      <c r="E29" s="48"/>
      <c r="F29" s="47"/>
      <c r="G29" s="48"/>
    </row>
    <row r="30" spans="1:7" x14ac:dyDescent="0.25">
      <c r="A30" s="380" t="s">
        <v>30</v>
      </c>
      <c r="B30" s="381"/>
      <c r="C30" s="381"/>
      <c r="D30" s="381"/>
      <c r="E30" s="381"/>
      <c r="F30" s="381"/>
      <c r="G30" s="382"/>
    </row>
    <row r="31" spans="1:7" x14ac:dyDescent="0.25">
      <c r="A31" s="72" t="s">
        <v>18</v>
      </c>
      <c r="B31" s="72" t="s">
        <v>19</v>
      </c>
      <c r="C31" s="72"/>
      <c r="D31" s="72" t="s">
        <v>31</v>
      </c>
      <c r="E31" s="72" t="s">
        <v>32</v>
      </c>
      <c r="F31" s="72" t="s">
        <v>21</v>
      </c>
      <c r="G31" s="72" t="s">
        <v>22</v>
      </c>
    </row>
    <row r="32" spans="1:7" x14ac:dyDescent="0.25">
      <c r="A32" s="167" t="s">
        <v>74</v>
      </c>
      <c r="B32" s="175" t="s">
        <v>75</v>
      </c>
      <c r="C32" s="184"/>
      <c r="D32" s="169">
        <v>8</v>
      </c>
      <c r="E32" s="170">
        <v>3.41</v>
      </c>
      <c r="F32" s="169">
        <v>0.91</v>
      </c>
      <c r="G32" s="170">
        <f>ROUND(D32*E32*F32,2)</f>
        <v>24.82</v>
      </c>
    </row>
    <row r="33" spans="1:7" x14ac:dyDescent="0.25">
      <c r="A33" s="177" t="s">
        <v>76</v>
      </c>
      <c r="B33" s="178" t="s">
        <v>77</v>
      </c>
      <c r="C33" s="185"/>
      <c r="D33" s="179">
        <v>4</v>
      </c>
      <c r="E33" s="180">
        <v>3.45</v>
      </c>
      <c r="F33" s="179">
        <v>0.91</v>
      </c>
      <c r="G33" s="180">
        <f t="shared" ref="G33:G34" si="1">ROUND(D33*E33*F33,2)</f>
        <v>12.56</v>
      </c>
    </row>
    <row r="34" spans="1:7" x14ac:dyDescent="0.25">
      <c r="A34" s="171" t="s">
        <v>90</v>
      </c>
      <c r="B34" s="182" t="s">
        <v>91</v>
      </c>
      <c r="C34" s="186"/>
      <c r="D34" s="173">
        <v>1</v>
      </c>
      <c r="E34" s="174">
        <v>3.83</v>
      </c>
      <c r="F34" s="173">
        <v>0.91</v>
      </c>
      <c r="G34" s="174">
        <f t="shared" si="1"/>
        <v>3.49</v>
      </c>
    </row>
    <row r="35" spans="1:7" x14ac:dyDescent="0.25">
      <c r="A35" s="378" t="s">
        <v>33</v>
      </c>
      <c r="B35" s="378"/>
      <c r="C35" s="378"/>
      <c r="D35" s="378"/>
      <c r="E35" s="378"/>
      <c r="F35" s="378"/>
      <c r="G35" s="56">
        <f>SUM(G32:G34)</f>
        <v>40.870000000000005</v>
      </c>
    </row>
    <row r="36" spans="1:7" x14ac:dyDescent="0.25">
      <c r="A36" s="45"/>
      <c r="B36" s="46"/>
      <c r="C36" s="45"/>
      <c r="D36" s="47"/>
      <c r="E36" s="48"/>
      <c r="F36" s="47"/>
      <c r="G36" s="48"/>
    </row>
    <row r="37" spans="1:7" x14ac:dyDescent="0.25">
      <c r="A37" s="383" t="s">
        <v>34</v>
      </c>
      <c r="B37" s="384"/>
      <c r="C37" s="384"/>
      <c r="D37" s="384"/>
      <c r="E37" s="384"/>
      <c r="F37" s="384"/>
      <c r="G37" s="58">
        <f>+G35+G28+G23+G15</f>
        <v>117.07</v>
      </c>
    </row>
    <row r="38" spans="1:7" x14ac:dyDescent="0.25">
      <c r="A38" s="82"/>
      <c r="B38" s="83"/>
      <c r="C38" s="83"/>
      <c r="D38" s="83"/>
      <c r="E38" s="83"/>
      <c r="F38" s="83"/>
      <c r="G38" s="58"/>
    </row>
    <row r="39" spans="1:7" x14ac:dyDescent="0.25">
      <c r="A39" s="385" t="s">
        <v>35</v>
      </c>
      <c r="B39" s="386"/>
      <c r="C39" s="386"/>
      <c r="D39" s="386"/>
      <c r="E39" s="386"/>
      <c r="F39" s="386"/>
      <c r="G39" s="387"/>
    </row>
    <row r="40" spans="1:7" x14ac:dyDescent="0.25">
      <c r="A40" s="383" t="s">
        <v>78</v>
      </c>
      <c r="B40" s="384"/>
      <c r="C40" s="384"/>
      <c r="D40" s="384"/>
      <c r="E40" s="384"/>
      <c r="F40" s="384"/>
      <c r="G40" s="58">
        <f>ROUND(0.21*G37,2)</f>
        <v>24.58</v>
      </c>
    </row>
    <row r="41" spans="1:7" x14ac:dyDescent="0.25">
      <c r="A41" s="45"/>
      <c r="B41" s="46"/>
      <c r="C41" s="45"/>
      <c r="D41" s="47"/>
      <c r="E41" s="48"/>
      <c r="F41" s="47"/>
      <c r="G41" s="48"/>
    </row>
    <row r="42" spans="1:7" x14ac:dyDescent="0.25">
      <c r="A42" s="376" t="s">
        <v>36</v>
      </c>
      <c r="B42" s="377"/>
      <c r="C42" s="377"/>
      <c r="D42" s="377"/>
      <c r="E42" s="377"/>
      <c r="F42" s="377"/>
      <c r="G42" s="166">
        <f>G37+G40</f>
        <v>141.64999999999998</v>
      </c>
    </row>
  </sheetData>
  <mergeCells count="16">
    <mergeCell ref="A42:F42"/>
    <mergeCell ref="A28:F28"/>
    <mergeCell ref="A30:G30"/>
    <mergeCell ref="A35:F35"/>
    <mergeCell ref="A37:F37"/>
    <mergeCell ref="A39:G39"/>
    <mergeCell ref="A40:F40"/>
    <mergeCell ref="A25:G25"/>
    <mergeCell ref="A1:F1"/>
    <mergeCell ref="B2:D2"/>
    <mergeCell ref="F2:G2"/>
    <mergeCell ref="A8:G8"/>
    <mergeCell ref="A10:G10"/>
    <mergeCell ref="A15:F15"/>
    <mergeCell ref="A17:G17"/>
    <mergeCell ref="A23:F23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35"/>
  <sheetViews>
    <sheetView tabSelected="1" view="pageBreakPreview" zoomScale="112" zoomScaleNormal="100" zoomScaleSheetLayoutView="112" workbookViewId="0">
      <pane ySplit="7" topLeftCell="A53" activePane="bottomLeft" state="frozen"/>
      <selection pane="bottomLeft" activeCell="D17" sqref="D17"/>
    </sheetView>
  </sheetViews>
  <sheetFormatPr baseColWidth="10" defaultRowHeight="13.2" x14ac:dyDescent="0.25"/>
  <cols>
    <col min="2" max="2" width="7.33203125" customWidth="1"/>
    <col min="3" max="3" width="7.6640625" customWidth="1"/>
    <col min="4" max="4" width="37" customWidth="1"/>
    <col min="5" max="5" width="8.109375" customWidth="1"/>
    <col min="6" max="6" width="9.44140625" customWidth="1"/>
    <col min="7" max="7" width="8.44140625" customWidth="1"/>
    <col min="8" max="8" width="10" customWidth="1"/>
  </cols>
  <sheetData>
    <row r="1" spans="1:12" ht="13.8" x14ac:dyDescent="0.3">
      <c r="A1" s="362"/>
      <c r="B1" s="363" t="s">
        <v>208</v>
      </c>
      <c r="C1" s="363"/>
      <c r="D1" s="363"/>
      <c r="E1" s="363"/>
      <c r="F1" s="363"/>
      <c r="G1" s="363"/>
      <c r="H1" s="363"/>
      <c r="I1" s="362"/>
    </row>
    <row r="2" spans="1:12" ht="26.4" customHeight="1" x14ac:dyDescent="0.25">
      <c r="A2" s="362"/>
      <c r="B2" s="369" t="s">
        <v>569</v>
      </c>
      <c r="C2" s="369"/>
      <c r="D2" s="369"/>
      <c r="E2" s="369"/>
      <c r="F2" s="369"/>
      <c r="G2" s="369"/>
      <c r="H2" s="369"/>
      <c r="I2" s="362"/>
    </row>
    <row r="3" spans="1:12" x14ac:dyDescent="0.25">
      <c r="A3" s="362"/>
      <c r="B3" s="370" t="s">
        <v>209</v>
      </c>
      <c r="C3" s="370"/>
      <c r="D3" s="371" t="s">
        <v>210</v>
      </c>
      <c r="E3" s="372"/>
      <c r="F3" s="372"/>
      <c r="G3" s="372"/>
      <c r="H3" s="372"/>
      <c r="I3" s="362"/>
    </row>
    <row r="4" spans="1:12" x14ac:dyDescent="0.25">
      <c r="A4" s="362"/>
      <c r="B4" s="370" t="s">
        <v>211</v>
      </c>
      <c r="C4" s="370"/>
      <c r="D4" s="371" t="s">
        <v>37</v>
      </c>
      <c r="E4" s="372"/>
      <c r="F4" s="372"/>
      <c r="G4" s="372"/>
      <c r="H4" s="372"/>
      <c r="I4" s="362"/>
    </row>
    <row r="5" spans="1:12" x14ac:dyDescent="0.25">
      <c r="A5" s="362"/>
      <c r="B5" s="370" t="s">
        <v>212</v>
      </c>
      <c r="C5" s="370"/>
      <c r="D5" s="371" t="s">
        <v>561</v>
      </c>
      <c r="E5" s="372"/>
      <c r="F5" s="372"/>
      <c r="G5" s="372"/>
      <c r="H5" s="372"/>
      <c r="I5" s="362"/>
    </row>
    <row r="6" spans="1:12" x14ac:dyDescent="0.25">
      <c r="B6" s="364" t="s">
        <v>568</v>
      </c>
      <c r="C6" s="365"/>
      <c r="D6" s="365"/>
      <c r="E6" s="365"/>
      <c r="F6" s="365"/>
      <c r="G6" s="365"/>
      <c r="H6" s="366"/>
    </row>
    <row r="7" spans="1:12" x14ac:dyDescent="0.25">
      <c r="B7" s="192" t="s">
        <v>0</v>
      </c>
      <c r="C7" s="192" t="s">
        <v>1</v>
      </c>
      <c r="D7" s="192" t="s">
        <v>2</v>
      </c>
      <c r="E7" s="192" t="s">
        <v>3</v>
      </c>
      <c r="F7" s="193" t="s">
        <v>4</v>
      </c>
      <c r="G7" s="193" t="s">
        <v>5</v>
      </c>
      <c r="H7" s="193" t="s">
        <v>6</v>
      </c>
    </row>
    <row r="8" spans="1:12" ht="20.399999999999999" x14ac:dyDescent="0.25">
      <c r="B8" s="222">
        <v>1</v>
      </c>
      <c r="C8" s="220" t="s">
        <v>251</v>
      </c>
      <c r="D8" s="223" t="s">
        <v>265</v>
      </c>
      <c r="E8" s="220" t="s">
        <v>38</v>
      </c>
      <c r="F8" s="221">
        <f>'Memoria de Rubros'!G8</f>
        <v>974.76710000000003</v>
      </c>
      <c r="G8" s="221">
        <f>'1'!G41</f>
        <v>1.82</v>
      </c>
      <c r="H8" s="221">
        <f>ROUND(F8*G8,2)</f>
        <v>1774.08</v>
      </c>
      <c r="K8" s="290"/>
      <c r="L8" s="113"/>
    </row>
    <row r="9" spans="1:12" x14ac:dyDescent="0.25">
      <c r="B9" s="335">
        <v>2</v>
      </c>
      <c r="C9" s="336" t="s">
        <v>420</v>
      </c>
      <c r="D9" s="337" t="s">
        <v>276</v>
      </c>
      <c r="E9" s="336" t="s">
        <v>38</v>
      </c>
      <c r="F9" s="338">
        <f>'Memoria de Rubros'!G14</f>
        <v>8482.5450000000001</v>
      </c>
      <c r="G9" s="338">
        <f>'2'!G37</f>
        <v>0.56000000000000005</v>
      </c>
      <c r="H9" s="338">
        <f>ROUND(F9*G9,2)</f>
        <v>4750.2299999999996</v>
      </c>
      <c r="K9" s="113"/>
      <c r="L9" s="113"/>
    </row>
    <row r="10" spans="1:12" x14ac:dyDescent="0.25">
      <c r="B10" s="335">
        <v>3</v>
      </c>
      <c r="C10" s="336" t="s">
        <v>39</v>
      </c>
      <c r="D10" s="337" t="s">
        <v>40</v>
      </c>
      <c r="E10" s="336" t="s">
        <v>38</v>
      </c>
      <c r="F10" s="338">
        <f>'Memoria de Rubros'!G23</f>
        <v>2452.4069999999997</v>
      </c>
      <c r="G10" s="338">
        <f>'3'!G41</f>
        <v>0.41345700000000002</v>
      </c>
      <c r="H10" s="338">
        <f t="shared" ref="H10:H61" si="0">ROUND(F10*G10,2)</f>
        <v>1013.96</v>
      </c>
      <c r="J10" s="71">
        <f>SUM(H9:H12)</f>
        <v>7817.48</v>
      </c>
      <c r="K10" s="113"/>
      <c r="L10" s="113"/>
    </row>
    <row r="11" spans="1:12" x14ac:dyDescent="0.25">
      <c r="B11" s="339">
        <v>4</v>
      </c>
      <c r="C11" s="336" t="s">
        <v>41</v>
      </c>
      <c r="D11" s="337" t="s">
        <v>42</v>
      </c>
      <c r="E11" s="336" t="s">
        <v>43</v>
      </c>
      <c r="F11" s="338">
        <f>'Memoria de Rubros'!G56</f>
        <v>321.34853722999992</v>
      </c>
      <c r="G11" s="338">
        <f>'4'!G37</f>
        <v>1.5136010999999998</v>
      </c>
      <c r="H11" s="338">
        <f t="shared" si="0"/>
        <v>486.39</v>
      </c>
      <c r="I11" s="71"/>
      <c r="K11" s="113"/>
      <c r="L11" s="113"/>
    </row>
    <row r="12" spans="1:12" x14ac:dyDescent="0.25">
      <c r="B12" s="339">
        <v>5</v>
      </c>
      <c r="C12" s="336" t="s">
        <v>44</v>
      </c>
      <c r="D12" s="337" t="s">
        <v>45</v>
      </c>
      <c r="E12" s="336" t="s">
        <v>43</v>
      </c>
      <c r="F12" s="338">
        <f>'Memoria de Rubros'!G62</f>
        <v>103.14722</v>
      </c>
      <c r="G12" s="338">
        <f>'5'!G41</f>
        <v>15.190945000000001</v>
      </c>
      <c r="H12" s="338">
        <f t="shared" si="0"/>
        <v>1566.9</v>
      </c>
      <c r="K12" s="113"/>
      <c r="L12" s="113"/>
    </row>
    <row r="13" spans="1:12" x14ac:dyDescent="0.25">
      <c r="B13" s="224">
        <v>6</v>
      </c>
      <c r="C13" s="219" t="s">
        <v>46</v>
      </c>
      <c r="D13" s="225" t="s">
        <v>47</v>
      </c>
      <c r="E13" s="219" t="s">
        <v>43</v>
      </c>
      <c r="F13" s="218">
        <f>'Memoria de Rubros'!G78</f>
        <v>80.836400000000012</v>
      </c>
      <c r="G13" s="218">
        <f>'6'!G35</f>
        <v>8.66</v>
      </c>
      <c r="H13" s="218">
        <f t="shared" si="0"/>
        <v>700.04</v>
      </c>
      <c r="K13" s="113"/>
      <c r="L13" s="113"/>
    </row>
    <row r="14" spans="1:12" ht="20.399999999999999" x14ac:dyDescent="0.25">
      <c r="B14" s="224">
        <v>7</v>
      </c>
      <c r="C14" s="219" t="s">
        <v>553</v>
      </c>
      <c r="D14" s="225" t="s">
        <v>552</v>
      </c>
      <c r="E14" s="219" t="s">
        <v>48</v>
      </c>
      <c r="F14" s="218">
        <f>'Memoria de Rubros'!G86</f>
        <v>6</v>
      </c>
      <c r="G14" s="218">
        <f>'7'!G48</f>
        <v>128.47999999999999</v>
      </c>
      <c r="H14" s="218">
        <f t="shared" si="0"/>
        <v>770.88</v>
      </c>
      <c r="K14" s="113"/>
      <c r="L14" s="113"/>
    </row>
    <row r="15" spans="1:12" x14ac:dyDescent="0.25">
      <c r="B15" s="226">
        <v>8</v>
      </c>
      <c r="C15" s="219" t="s">
        <v>296</v>
      </c>
      <c r="D15" s="225" t="s">
        <v>287</v>
      </c>
      <c r="E15" s="219" t="s">
        <v>48</v>
      </c>
      <c r="F15" s="218">
        <f>'Memoria de Rubros'!G92</f>
        <v>1</v>
      </c>
      <c r="G15" s="218">
        <f>'8'!G44</f>
        <v>481.79</v>
      </c>
      <c r="H15" s="218">
        <f t="shared" si="0"/>
        <v>481.79</v>
      </c>
      <c r="K15" s="113"/>
      <c r="L15" s="113"/>
    </row>
    <row r="16" spans="1:12" x14ac:dyDescent="0.25">
      <c r="B16" s="226">
        <v>9</v>
      </c>
      <c r="C16" s="219" t="s">
        <v>49</v>
      </c>
      <c r="D16" s="225" t="s">
        <v>574</v>
      </c>
      <c r="E16" s="219" t="s">
        <v>50</v>
      </c>
      <c r="F16" s="218">
        <f>'Memoria de Rubros'!G102</f>
        <v>100.61000000000001</v>
      </c>
      <c r="G16" s="218">
        <f>'9'!G38</f>
        <v>9.08</v>
      </c>
      <c r="H16" s="218">
        <f t="shared" si="0"/>
        <v>913.54</v>
      </c>
      <c r="K16" s="113"/>
      <c r="L16" s="113"/>
    </row>
    <row r="17" spans="2:12" x14ac:dyDescent="0.25">
      <c r="B17" s="224">
        <v>10</v>
      </c>
      <c r="C17" s="219" t="s">
        <v>51</v>
      </c>
      <c r="D17" s="225" t="s">
        <v>52</v>
      </c>
      <c r="E17" s="219" t="s">
        <v>50</v>
      </c>
      <c r="F17" s="218">
        <f>'Memoria de Rubros'!G110</f>
        <v>63.37</v>
      </c>
      <c r="G17" s="218">
        <f>'10'!G38</f>
        <v>3.1300000000000003</v>
      </c>
      <c r="H17" s="218">
        <f t="shared" si="0"/>
        <v>198.35</v>
      </c>
      <c r="K17" s="113"/>
      <c r="L17" s="113"/>
    </row>
    <row r="18" spans="2:12" x14ac:dyDescent="0.25">
      <c r="B18" s="224">
        <v>11</v>
      </c>
      <c r="C18" s="219" t="s">
        <v>327</v>
      </c>
      <c r="D18" s="225" t="s">
        <v>326</v>
      </c>
      <c r="E18" s="219" t="s">
        <v>50</v>
      </c>
      <c r="F18" s="218">
        <f>'Memoria de Rubros'!G117</f>
        <v>23.96</v>
      </c>
      <c r="G18" s="218">
        <f>'11'!G38</f>
        <v>7.03</v>
      </c>
      <c r="H18" s="218">
        <f t="shared" si="0"/>
        <v>168.44</v>
      </c>
      <c r="K18" s="113"/>
      <c r="L18" s="113"/>
    </row>
    <row r="19" spans="2:12" x14ac:dyDescent="0.25">
      <c r="B19" s="226">
        <v>12</v>
      </c>
      <c r="C19" s="219" t="s">
        <v>424</v>
      </c>
      <c r="D19" s="225" t="s">
        <v>245</v>
      </c>
      <c r="E19" s="219" t="s">
        <v>48</v>
      </c>
      <c r="F19" s="218">
        <f>'Memoria de Rubros'!G125</f>
        <v>11</v>
      </c>
      <c r="G19" s="218">
        <f>'12'!G38</f>
        <v>25.310000000000002</v>
      </c>
      <c r="H19" s="218">
        <f t="shared" si="0"/>
        <v>278.41000000000003</v>
      </c>
      <c r="K19" s="113"/>
      <c r="L19" s="113"/>
    </row>
    <row r="20" spans="2:12" x14ac:dyDescent="0.25">
      <c r="B20" s="226">
        <v>13</v>
      </c>
      <c r="C20" s="219" t="s">
        <v>424</v>
      </c>
      <c r="D20" s="225" t="s">
        <v>333</v>
      </c>
      <c r="E20" s="219" t="s">
        <v>48</v>
      </c>
      <c r="F20" s="218">
        <f>'Memoria de Rubros'!G131</f>
        <v>9</v>
      </c>
      <c r="G20" s="218">
        <f>'13'!G38</f>
        <v>9.0399999999999991</v>
      </c>
      <c r="H20" s="218">
        <f t="shared" si="0"/>
        <v>81.36</v>
      </c>
      <c r="K20" s="113"/>
      <c r="L20" s="113"/>
    </row>
    <row r="21" spans="2:12" x14ac:dyDescent="0.25">
      <c r="B21" s="224">
        <v>14</v>
      </c>
      <c r="C21" s="219" t="s">
        <v>424</v>
      </c>
      <c r="D21" s="225" t="s">
        <v>335</v>
      </c>
      <c r="E21" s="219" t="s">
        <v>48</v>
      </c>
      <c r="F21" s="218">
        <f>'Memoria de Rubros'!G137</f>
        <v>6</v>
      </c>
      <c r="G21" s="218">
        <f>'14'!G38</f>
        <v>9.32</v>
      </c>
      <c r="H21" s="218">
        <f t="shared" si="0"/>
        <v>55.92</v>
      </c>
      <c r="K21" s="113"/>
      <c r="L21" s="113"/>
    </row>
    <row r="22" spans="2:12" x14ac:dyDescent="0.25">
      <c r="B22" s="224">
        <v>15</v>
      </c>
      <c r="C22" s="219" t="s">
        <v>53</v>
      </c>
      <c r="D22" s="225" t="s">
        <v>54</v>
      </c>
      <c r="E22" s="219" t="s">
        <v>43</v>
      </c>
      <c r="F22" s="218">
        <f>'Memoria de Rubros'!G149</f>
        <v>54.852891153599998</v>
      </c>
      <c r="G22" s="218">
        <f>'15'!G35</f>
        <v>6.9300000000000006</v>
      </c>
      <c r="H22" s="218">
        <f t="shared" si="0"/>
        <v>380.13</v>
      </c>
      <c r="K22" s="113"/>
      <c r="L22" s="113"/>
    </row>
    <row r="23" spans="2:12" x14ac:dyDescent="0.25">
      <c r="B23" s="226">
        <v>16</v>
      </c>
      <c r="C23" s="219" t="s">
        <v>323</v>
      </c>
      <c r="D23" s="227" t="s">
        <v>304</v>
      </c>
      <c r="E23" s="219" t="s">
        <v>43</v>
      </c>
      <c r="F23" s="218">
        <f>'Memoria de Rubros'!G156</f>
        <v>4.7040000000000006</v>
      </c>
      <c r="G23" s="218">
        <f>'16'!G42</f>
        <v>91.09</v>
      </c>
      <c r="H23" s="218">
        <f t="shared" si="0"/>
        <v>428.49</v>
      </c>
      <c r="K23" s="113"/>
      <c r="L23" s="113"/>
    </row>
    <row r="24" spans="2:12" ht="13.2" customHeight="1" x14ac:dyDescent="0.25">
      <c r="B24" s="226">
        <v>17</v>
      </c>
      <c r="C24" s="219" t="s">
        <v>421</v>
      </c>
      <c r="D24" s="225" t="s">
        <v>283</v>
      </c>
      <c r="E24" s="219" t="s">
        <v>43</v>
      </c>
      <c r="F24" s="218">
        <f>'Memoria de Rubros'!G164</f>
        <v>25.786805000000001</v>
      </c>
      <c r="G24" s="218">
        <f>'17'!G42</f>
        <v>141.64999999999998</v>
      </c>
      <c r="H24" s="218">
        <f t="shared" si="0"/>
        <v>3652.7</v>
      </c>
      <c r="K24" s="113"/>
      <c r="L24" s="113"/>
    </row>
    <row r="25" spans="2:12" x14ac:dyDescent="0.25">
      <c r="B25" s="224">
        <v>18</v>
      </c>
      <c r="C25" s="219" t="s">
        <v>55</v>
      </c>
      <c r="D25" s="225" t="s">
        <v>56</v>
      </c>
      <c r="E25" s="219" t="s">
        <v>38</v>
      </c>
      <c r="F25" s="218">
        <f>'Memoria de Rubros'!G174</f>
        <v>212.61</v>
      </c>
      <c r="G25" s="218">
        <f>'18'!G40</f>
        <v>11.45</v>
      </c>
      <c r="H25" s="218">
        <f t="shared" si="0"/>
        <v>2434.38</v>
      </c>
      <c r="K25" s="113"/>
      <c r="L25" s="113"/>
    </row>
    <row r="26" spans="2:12" x14ac:dyDescent="0.25">
      <c r="B26" s="224">
        <v>19</v>
      </c>
      <c r="C26" s="219" t="s">
        <v>349</v>
      </c>
      <c r="D26" s="225" t="s">
        <v>348</v>
      </c>
      <c r="E26" s="219" t="s">
        <v>38</v>
      </c>
      <c r="F26" s="218">
        <f>'Memoria de Rubros'!G183</f>
        <v>425.22</v>
      </c>
      <c r="G26" s="218">
        <f>'19'!G39</f>
        <v>3.58</v>
      </c>
      <c r="H26" s="218">
        <f t="shared" si="0"/>
        <v>1522.29</v>
      </c>
      <c r="K26" s="113"/>
      <c r="L26" s="113"/>
    </row>
    <row r="27" spans="2:12" x14ac:dyDescent="0.25">
      <c r="B27" s="224">
        <v>20</v>
      </c>
      <c r="C27" s="219" t="s">
        <v>57</v>
      </c>
      <c r="D27" s="225" t="s">
        <v>58</v>
      </c>
      <c r="E27" s="219" t="s">
        <v>48</v>
      </c>
      <c r="F27" s="218">
        <f>'Memoria de Rubros'!G192</f>
        <v>31</v>
      </c>
      <c r="G27" s="218">
        <f>'20'!G42</f>
        <v>28.6</v>
      </c>
      <c r="H27" s="218">
        <f t="shared" si="0"/>
        <v>886.6</v>
      </c>
      <c r="K27" s="113"/>
      <c r="L27" s="113"/>
    </row>
    <row r="28" spans="2:12" x14ac:dyDescent="0.25">
      <c r="B28" s="226">
        <v>21</v>
      </c>
      <c r="C28" s="219" t="s">
        <v>59</v>
      </c>
      <c r="D28" s="225" t="s">
        <v>60</v>
      </c>
      <c r="E28" s="219" t="s">
        <v>50</v>
      </c>
      <c r="F28" s="218">
        <f>'Memoria de Rubros'!G200</f>
        <v>26.270000000000003</v>
      </c>
      <c r="G28" s="218">
        <f>'21'!G40</f>
        <v>3.8499999999999996</v>
      </c>
      <c r="H28" s="218">
        <f t="shared" si="0"/>
        <v>101.14</v>
      </c>
      <c r="K28" s="113"/>
      <c r="L28" s="113"/>
    </row>
    <row r="29" spans="2:12" x14ac:dyDescent="0.25">
      <c r="B29" s="226">
        <v>22</v>
      </c>
      <c r="C29" s="219" t="s">
        <v>422</v>
      </c>
      <c r="D29" s="225" t="s">
        <v>61</v>
      </c>
      <c r="E29" s="219" t="s">
        <v>50</v>
      </c>
      <c r="F29" s="218">
        <f>'Memoria de Rubros'!G209</f>
        <v>107.47</v>
      </c>
      <c r="G29" s="218">
        <f>'22'!G40</f>
        <v>12.75</v>
      </c>
      <c r="H29" s="218">
        <f t="shared" si="0"/>
        <v>1370.24</v>
      </c>
      <c r="K29" s="113"/>
      <c r="L29" s="113"/>
    </row>
    <row r="30" spans="2:12" x14ac:dyDescent="0.25">
      <c r="B30" s="224">
        <v>23</v>
      </c>
      <c r="C30" s="219" t="s">
        <v>62</v>
      </c>
      <c r="D30" s="225" t="s">
        <v>63</v>
      </c>
      <c r="E30" s="219" t="s">
        <v>48</v>
      </c>
      <c r="F30" s="218">
        <f>'Memoria de Rubros'!G218</f>
        <v>31</v>
      </c>
      <c r="G30" s="218">
        <f>'23'!G41</f>
        <v>23.799999999999997</v>
      </c>
      <c r="H30" s="218">
        <f t="shared" si="0"/>
        <v>737.8</v>
      </c>
      <c r="K30" s="113"/>
      <c r="L30" s="113"/>
    </row>
    <row r="31" spans="2:12" x14ac:dyDescent="0.25">
      <c r="B31" s="224">
        <v>24</v>
      </c>
      <c r="C31" s="219" t="s">
        <v>468</v>
      </c>
      <c r="D31" s="225" t="s">
        <v>467</v>
      </c>
      <c r="E31" s="219" t="s">
        <v>48</v>
      </c>
      <c r="F31" s="218">
        <f>'Memoria de Rubros'!G225</f>
        <v>35</v>
      </c>
      <c r="G31" s="218">
        <f>'24'!G43</f>
        <v>21.83</v>
      </c>
      <c r="H31" s="218">
        <f t="shared" si="0"/>
        <v>764.05</v>
      </c>
      <c r="K31" s="113"/>
      <c r="L31" s="113"/>
    </row>
    <row r="32" spans="2:12" x14ac:dyDescent="0.25">
      <c r="B32" s="224">
        <v>25</v>
      </c>
      <c r="C32" s="219" t="s">
        <v>64</v>
      </c>
      <c r="D32" s="225" t="s">
        <v>65</v>
      </c>
      <c r="E32" s="219" t="s">
        <v>48</v>
      </c>
      <c r="F32" s="218">
        <f>'Memoria de Rubros'!G232</f>
        <v>70</v>
      </c>
      <c r="G32" s="218">
        <f>'25'!G43</f>
        <v>26.9</v>
      </c>
      <c r="H32" s="218">
        <f t="shared" si="0"/>
        <v>1883</v>
      </c>
      <c r="K32" s="113"/>
      <c r="L32" s="113"/>
    </row>
    <row r="33" spans="2:12" x14ac:dyDescent="0.25">
      <c r="B33" s="226">
        <v>26</v>
      </c>
      <c r="C33" s="219" t="s">
        <v>66</v>
      </c>
      <c r="D33" s="225" t="s">
        <v>67</v>
      </c>
      <c r="E33" s="219" t="s">
        <v>48</v>
      </c>
      <c r="F33" s="218">
        <f>'Memoria de Rubros'!G239</f>
        <v>35</v>
      </c>
      <c r="G33" s="218">
        <f>'26'!G42</f>
        <v>20.440000000000001</v>
      </c>
      <c r="H33" s="218">
        <f t="shared" si="0"/>
        <v>715.4</v>
      </c>
      <c r="K33" s="113"/>
      <c r="L33" s="113"/>
    </row>
    <row r="34" spans="2:12" x14ac:dyDescent="0.25">
      <c r="B34" s="226">
        <v>27</v>
      </c>
      <c r="C34" s="219" t="s">
        <v>68</v>
      </c>
      <c r="D34" s="225" t="s">
        <v>69</v>
      </c>
      <c r="E34" s="219" t="s">
        <v>50</v>
      </c>
      <c r="F34" s="218">
        <f>'Memoria de Rubros'!G247</f>
        <v>306.60000000000002</v>
      </c>
      <c r="G34" s="218">
        <f>'27'!G36</f>
        <v>1.49</v>
      </c>
      <c r="H34" s="218">
        <f t="shared" si="0"/>
        <v>456.83</v>
      </c>
      <c r="K34" s="113"/>
      <c r="L34" s="113"/>
    </row>
    <row r="35" spans="2:12" x14ac:dyDescent="0.25">
      <c r="B35" s="226">
        <v>28</v>
      </c>
      <c r="C35" s="219" t="s">
        <v>485</v>
      </c>
      <c r="D35" s="225" t="s">
        <v>482</v>
      </c>
      <c r="E35" s="219" t="s">
        <v>50</v>
      </c>
      <c r="F35" s="218">
        <f>'Memoria de Rubros'!G255</f>
        <v>127.06</v>
      </c>
      <c r="G35" s="218">
        <f>'28'!G36</f>
        <v>3.3032999999999992</v>
      </c>
      <c r="H35" s="218">
        <f t="shared" si="0"/>
        <v>419.72</v>
      </c>
      <c r="K35" s="113"/>
      <c r="L35" s="113"/>
    </row>
    <row r="36" spans="2:12" ht="20.399999999999999" x14ac:dyDescent="0.25">
      <c r="B36" s="224">
        <v>29</v>
      </c>
      <c r="C36" s="219" t="s">
        <v>556</v>
      </c>
      <c r="D36" s="225" t="s">
        <v>557</v>
      </c>
      <c r="E36" s="219" t="s">
        <v>48</v>
      </c>
      <c r="F36" s="218">
        <f>'Memoria de Rubros'!G261</f>
        <v>1</v>
      </c>
      <c r="G36" s="218">
        <f>'29'!G38</f>
        <v>802.86</v>
      </c>
      <c r="H36" s="218">
        <f t="shared" si="0"/>
        <v>802.86</v>
      </c>
      <c r="K36" s="113"/>
      <c r="L36" s="113"/>
    </row>
    <row r="37" spans="2:12" x14ac:dyDescent="0.25">
      <c r="B37" s="224">
        <v>30</v>
      </c>
      <c r="C37" s="219" t="s">
        <v>443</v>
      </c>
      <c r="D37" s="225" t="s">
        <v>70</v>
      </c>
      <c r="E37" s="219" t="s">
        <v>48</v>
      </c>
      <c r="F37" s="218">
        <f>'Memoria de Rubros'!G267</f>
        <v>1</v>
      </c>
      <c r="G37" s="218">
        <f>'30'!G35</f>
        <v>187.55</v>
      </c>
      <c r="H37" s="218">
        <f t="shared" si="0"/>
        <v>187.55</v>
      </c>
      <c r="K37" s="113"/>
      <c r="L37" s="113"/>
    </row>
    <row r="38" spans="2:12" x14ac:dyDescent="0.25">
      <c r="B38" s="226">
        <v>31</v>
      </c>
      <c r="C38" s="219" t="s">
        <v>444</v>
      </c>
      <c r="D38" s="225" t="s">
        <v>247</v>
      </c>
      <c r="E38" s="219" t="s">
        <v>48</v>
      </c>
      <c r="F38" s="218">
        <f>'Memoria de Rubros'!G273</f>
        <v>1</v>
      </c>
      <c r="G38" s="218">
        <f>'31'!G39</f>
        <v>619.52</v>
      </c>
      <c r="H38" s="218">
        <f t="shared" si="0"/>
        <v>619.52</v>
      </c>
      <c r="K38" s="113"/>
      <c r="L38" s="113"/>
    </row>
    <row r="39" spans="2:12" x14ac:dyDescent="0.25">
      <c r="B39" s="226">
        <v>32</v>
      </c>
      <c r="C39" s="219" t="s">
        <v>465</v>
      </c>
      <c r="D39" s="225" t="s">
        <v>466</v>
      </c>
      <c r="E39" s="219" t="s">
        <v>50</v>
      </c>
      <c r="F39" s="218">
        <f>'Memoria de Rubros'!G280</f>
        <v>128.82</v>
      </c>
      <c r="G39" s="218">
        <f>'32'!G38</f>
        <v>6.26</v>
      </c>
      <c r="H39" s="218">
        <f t="shared" si="0"/>
        <v>806.41</v>
      </c>
      <c r="K39" s="113"/>
      <c r="L39" s="113"/>
    </row>
    <row r="40" spans="2:12" x14ac:dyDescent="0.25">
      <c r="B40" s="224">
        <v>33</v>
      </c>
      <c r="C40" s="219" t="s">
        <v>423</v>
      </c>
      <c r="D40" s="225" t="s">
        <v>407</v>
      </c>
      <c r="E40" s="219" t="s">
        <v>48</v>
      </c>
      <c r="F40" s="218">
        <f>'Memoria de Rubros'!G287</f>
        <v>19</v>
      </c>
      <c r="G40" s="218">
        <f>'33'!G38</f>
        <v>42.419999999999995</v>
      </c>
      <c r="H40" s="218">
        <f t="shared" si="0"/>
        <v>805.98</v>
      </c>
      <c r="K40" s="113"/>
      <c r="L40" s="113"/>
    </row>
    <row r="41" spans="2:12" x14ac:dyDescent="0.25">
      <c r="B41" s="224">
        <v>34</v>
      </c>
      <c r="C41" s="219" t="s">
        <v>269</v>
      </c>
      <c r="D41" s="225" t="s">
        <v>266</v>
      </c>
      <c r="E41" s="219" t="s">
        <v>48</v>
      </c>
      <c r="F41" s="218">
        <f>'Memoria de Rubros'!G294</f>
        <v>19</v>
      </c>
      <c r="G41" s="218">
        <f>'34'!G36</f>
        <v>10.850000000000001</v>
      </c>
      <c r="H41" s="218">
        <f t="shared" si="0"/>
        <v>206.15</v>
      </c>
      <c r="K41" s="113"/>
      <c r="L41" s="113"/>
    </row>
    <row r="42" spans="2:12" ht="20.399999999999999" x14ac:dyDescent="0.25">
      <c r="B42" s="344">
        <v>35</v>
      </c>
      <c r="C42" s="341" t="s">
        <v>428</v>
      </c>
      <c r="D42" s="342" t="s">
        <v>227</v>
      </c>
      <c r="E42" s="341" t="s">
        <v>48</v>
      </c>
      <c r="F42" s="343">
        <f>'Memoria de Rubros'!G301</f>
        <v>26</v>
      </c>
      <c r="G42" s="343">
        <f>'35'!G35</f>
        <v>447.7</v>
      </c>
      <c r="H42" s="343">
        <f t="shared" si="0"/>
        <v>11640.2</v>
      </c>
      <c r="I42" s="71"/>
      <c r="K42" s="113"/>
      <c r="L42" s="113"/>
    </row>
    <row r="43" spans="2:12" ht="20.399999999999999" x14ac:dyDescent="0.25">
      <c r="B43" s="340">
        <v>36</v>
      </c>
      <c r="C43" s="341" t="s">
        <v>427</v>
      </c>
      <c r="D43" s="342" t="s">
        <v>229</v>
      </c>
      <c r="E43" s="341" t="s">
        <v>48</v>
      </c>
      <c r="F43" s="343">
        <f>'Memoria de Rubros'!G307</f>
        <v>34</v>
      </c>
      <c r="G43" s="343">
        <f>'36'!G35</f>
        <v>568.70000000000005</v>
      </c>
      <c r="H43" s="343">
        <f t="shared" si="0"/>
        <v>19335.8</v>
      </c>
      <c r="J43" s="71">
        <f>SUM(H42:H44)</f>
        <v>40907.68</v>
      </c>
      <c r="K43" s="113"/>
      <c r="L43" s="113"/>
    </row>
    <row r="44" spans="2:12" ht="20.399999999999999" x14ac:dyDescent="0.25">
      <c r="B44" s="340">
        <v>37</v>
      </c>
      <c r="C44" s="341" t="s">
        <v>426</v>
      </c>
      <c r="D44" s="342" t="s">
        <v>284</v>
      </c>
      <c r="E44" s="341" t="s">
        <v>48</v>
      </c>
      <c r="F44" s="343">
        <f>'Memoria de Rubros'!G313</f>
        <v>6</v>
      </c>
      <c r="G44" s="343">
        <f>'37'!G35</f>
        <v>1655.28</v>
      </c>
      <c r="H44" s="343">
        <f t="shared" si="0"/>
        <v>9931.68</v>
      </c>
      <c r="K44" s="113"/>
      <c r="L44" s="113"/>
    </row>
    <row r="45" spans="2:12" x14ac:dyDescent="0.25">
      <c r="B45" s="224">
        <v>38</v>
      </c>
      <c r="C45" s="219" t="s">
        <v>324</v>
      </c>
      <c r="D45" s="227" t="s">
        <v>307</v>
      </c>
      <c r="E45" s="219" t="s">
        <v>38</v>
      </c>
      <c r="F45" s="218">
        <f>'Memoria de Rubros'!G319</f>
        <v>4.2</v>
      </c>
      <c r="G45" s="218">
        <f>'38'!G44</f>
        <v>45.81</v>
      </c>
      <c r="H45" s="218">
        <f t="shared" si="0"/>
        <v>192.4</v>
      </c>
      <c r="K45" s="113"/>
      <c r="L45" s="113"/>
    </row>
    <row r="46" spans="2:12" x14ac:dyDescent="0.25">
      <c r="B46" s="224">
        <v>39</v>
      </c>
      <c r="C46" s="219" t="s">
        <v>445</v>
      </c>
      <c r="D46" s="227" t="s">
        <v>374</v>
      </c>
      <c r="E46" s="219" t="s">
        <v>38</v>
      </c>
      <c r="F46" s="218">
        <f>'Memoria de Rubros'!G325</f>
        <v>80</v>
      </c>
      <c r="G46" s="218">
        <f>'39'!G36</f>
        <v>2.1800000000000002</v>
      </c>
      <c r="H46" s="218">
        <f t="shared" si="0"/>
        <v>174.4</v>
      </c>
      <c r="K46" s="113"/>
      <c r="L46" s="113"/>
    </row>
    <row r="47" spans="2:12" ht="20.399999999999999" x14ac:dyDescent="0.25">
      <c r="B47" s="224">
        <v>40</v>
      </c>
      <c r="C47" s="219" t="s">
        <v>426</v>
      </c>
      <c r="D47" s="225" t="s">
        <v>338</v>
      </c>
      <c r="E47" s="219" t="s">
        <v>337</v>
      </c>
      <c r="F47" s="218">
        <f>'Memoria de Rubros'!G331</f>
        <v>6</v>
      </c>
      <c r="G47" s="218">
        <f>'40'!G35</f>
        <v>358.64</v>
      </c>
      <c r="H47" s="218">
        <f t="shared" si="0"/>
        <v>2151.84</v>
      </c>
      <c r="K47" s="113"/>
      <c r="L47" s="113"/>
    </row>
    <row r="48" spans="2:12" x14ac:dyDescent="0.25">
      <c r="B48" s="226">
        <v>41</v>
      </c>
      <c r="C48" s="219" t="s">
        <v>425</v>
      </c>
      <c r="D48" s="225" t="s">
        <v>393</v>
      </c>
      <c r="E48" s="219" t="s">
        <v>48</v>
      </c>
      <c r="F48" s="218">
        <f>'Memoria de Rubros'!G337</f>
        <v>8</v>
      </c>
      <c r="G48" s="218">
        <f>'41'!G39</f>
        <v>14.170000000000002</v>
      </c>
      <c r="H48" s="218">
        <f t="shared" si="0"/>
        <v>113.36</v>
      </c>
      <c r="K48" s="113"/>
      <c r="L48" s="113"/>
    </row>
    <row r="49" spans="2:12" x14ac:dyDescent="0.25">
      <c r="B49" s="226">
        <v>42</v>
      </c>
      <c r="C49" s="219" t="s">
        <v>394</v>
      </c>
      <c r="D49" s="225" t="s">
        <v>404</v>
      </c>
      <c r="E49" s="219" t="s">
        <v>48</v>
      </c>
      <c r="F49" s="218">
        <f>'Memoria de Rubros'!G343</f>
        <v>2</v>
      </c>
      <c r="G49" s="218">
        <f>'42'!G39</f>
        <v>9.6199999999999992</v>
      </c>
      <c r="H49" s="218">
        <f t="shared" si="0"/>
        <v>19.239999999999998</v>
      </c>
      <c r="K49" s="113"/>
      <c r="L49" s="113"/>
    </row>
    <row r="50" spans="2:12" ht="20.399999999999999" x14ac:dyDescent="0.25">
      <c r="B50" s="224">
        <v>43</v>
      </c>
      <c r="C50" s="219" t="s">
        <v>396</v>
      </c>
      <c r="D50" s="225" t="s">
        <v>402</v>
      </c>
      <c r="E50" s="219" t="s">
        <v>118</v>
      </c>
      <c r="F50" s="218">
        <f>'Memoria de Rubros'!G350</f>
        <v>39.513600000000004</v>
      </c>
      <c r="G50" s="218">
        <f>'43'!G46</f>
        <v>3.87</v>
      </c>
      <c r="H50" s="218">
        <f t="shared" si="0"/>
        <v>152.91999999999999</v>
      </c>
      <c r="K50" s="113"/>
      <c r="L50" s="113"/>
    </row>
    <row r="51" spans="2:12" x14ac:dyDescent="0.25">
      <c r="B51" s="224">
        <v>44</v>
      </c>
      <c r="C51" s="219" t="s">
        <v>395</v>
      </c>
      <c r="D51" s="225" t="s">
        <v>375</v>
      </c>
      <c r="E51" s="219" t="s">
        <v>43</v>
      </c>
      <c r="F51" s="218">
        <f>'Memoria de Rubros'!G356</f>
        <v>0.12800000000000003</v>
      </c>
      <c r="G51" s="218">
        <f>'44'!G42</f>
        <v>152.04000000000002</v>
      </c>
      <c r="H51" s="218">
        <f t="shared" si="0"/>
        <v>19.46</v>
      </c>
      <c r="K51" s="113"/>
      <c r="L51" s="113"/>
    </row>
    <row r="52" spans="2:12" ht="20.399999999999999" x14ac:dyDescent="0.25">
      <c r="B52" s="224">
        <v>45</v>
      </c>
      <c r="C52" s="219" t="s">
        <v>406</v>
      </c>
      <c r="D52" s="225" t="s">
        <v>408</v>
      </c>
      <c r="E52" s="219" t="s">
        <v>43</v>
      </c>
      <c r="F52" s="218">
        <f>'Memoria de Rubros'!G362</f>
        <v>0.6</v>
      </c>
      <c r="G52" s="218">
        <f>'45'!G46</f>
        <v>238.44</v>
      </c>
      <c r="H52" s="218">
        <f t="shared" si="0"/>
        <v>143.06</v>
      </c>
      <c r="K52" s="113"/>
      <c r="L52" s="113"/>
    </row>
    <row r="53" spans="2:12" x14ac:dyDescent="0.25">
      <c r="B53" s="226">
        <v>46</v>
      </c>
      <c r="C53" s="266" t="s">
        <v>430</v>
      </c>
      <c r="D53" s="267" t="s">
        <v>429</v>
      </c>
      <c r="E53" s="266" t="s">
        <v>48</v>
      </c>
      <c r="F53" s="268">
        <f>'Memoria de Rubros'!G368</f>
        <v>1</v>
      </c>
      <c r="G53" s="268">
        <f>'46'!G37</f>
        <v>55.019999999999996</v>
      </c>
      <c r="H53" s="268">
        <f>F53*G53</f>
        <v>55.019999999999996</v>
      </c>
      <c r="K53" s="113"/>
      <c r="L53" s="113"/>
    </row>
    <row r="54" spans="2:12" x14ac:dyDescent="0.25">
      <c r="B54" s="226">
        <v>47</v>
      </c>
      <c r="C54" s="266" t="s">
        <v>432</v>
      </c>
      <c r="D54" s="267" t="s">
        <v>431</v>
      </c>
      <c r="E54" s="266" t="s">
        <v>48</v>
      </c>
      <c r="F54" s="268">
        <f>'Memoria de Rubros'!G374</f>
        <v>1</v>
      </c>
      <c r="G54" s="268">
        <f>'47'!G37</f>
        <v>247.35000000000002</v>
      </c>
      <c r="H54" s="268">
        <f>F54*G54</f>
        <v>247.35000000000002</v>
      </c>
      <c r="K54" s="113"/>
      <c r="L54" s="113"/>
    </row>
    <row r="55" spans="2:12" x14ac:dyDescent="0.25">
      <c r="B55" s="226">
        <v>48</v>
      </c>
      <c r="C55" s="266" t="s">
        <v>462</v>
      </c>
      <c r="D55" s="267" t="s">
        <v>461</v>
      </c>
      <c r="E55" s="266" t="s">
        <v>38</v>
      </c>
      <c r="F55" s="268">
        <f>'Memoria de Rubros'!G380</f>
        <v>172.27</v>
      </c>
      <c r="G55" s="268">
        <f>'48'!G36</f>
        <v>2.11</v>
      </c>
      <c r="H55" s="268">
        <f>F55*G55</f>
        <v>363.48970000000003</v>
      </c>
      <c r="I55" s="333"/>
      <c r="K55" s="113"/>
      <c r="L55" s="113"/>
    </row>
    <row r="56" spans="2:12" ht="20.399999999999999" x14ac:dyDescent="0.25">
      <c r="B56" s="226">
        <v>49</v>
      </c>
      <c r="C56" s="266" t="s">
        <v>474</v>
      </c>
      <c r="D56" s="267" t="s">
        <v>481</v>
      </c>
      <c r="E56" s="266" t="s">
        <v>50</v>
      </c>
      <c r="F56" s="268">
        <f>'Memoria de Rubros'!G387</f>
        <v>209.57999999999998</v>
      </c>
      <c r="G56" s="268">
        <f>'49'!G40</f>
        <v>5.629999999999999</v>
      </c>
      <c r="H56" s="268">
        <f>F56*G56</f>
        <v>1179.9353999999996</v>
      </c>
      <c r="K56" s="113"/>
      <c r="L56" s="113"/>
    </row>
    <row r="57" spans="2:12" x14ac:dyDescent="0.25">
      <c r="B57" s="226">
        <v>50</v>
      </c>
      <c r="C57" s="266" t="s">
        <v>490</v>
      </c>
      <c r="D57" s="267" t="s">
        <v>489</v>
      </c>
      <c r="E57" s="266" t="s">
        <v>50</v>
      </c>
      <c r="F57" s="268">
        <f>'Memoria de Rubros'!G398</f>
        <v>807.84000000000015</v>
      </c>
      <c r="G57" s="268">
        <f>'50'!G36</f>
        <v>1.9414449999999999</v>
      </c>
      <c r="H57" s="268">
        <f t="shared" ref="H57:H59" si="1">F57*G57</f>
        <v>1568.3769288000001</v>
      </c>
      <c r="K57" s="113"/>
      <c r="L57" s="113"/>
    </row>
    <row r="58" spans="2:12" ht="20.399999999999999" x14ac:dyDescent="0.25">
      <c r="B58" s="226">
        <v>51</v>
      </c>
      <c r="C58" s="266" t="s">
        <v>491</v>
      </c>
      <c r="D58" s="267" t="s">
        <v>486</v>
      </c>
      <c r="E58" s="266" t="s">
        <v>50</v>
      </c>
      <c r="F58" s="268">
        <f>'Memoria de Rubros'!G404</f>
        <v>94.87</v>
      </c>
      <c r="G58" s="268">
        <f>'51'!G36</f>
        <v>1.1132</v>
      </c>
      <c r="H58" s="268">
        <f t="shared" si="1"/>
        <v>105.609284</v>
      </c>
      <c r="K58" s="113"/>
      <c r="L58" s="113"/>
    </row>
    <row r="59" spans="2:12" ht="20.399999999999999" x14ac:dyDescent="0.25">
      <c r="B59" s="226">
        <v>52</v>
      </c>
      <c r="C59" s="266" t="s">
        <v>492</v>
      </c>
      <c r="D59" s="267" t="s">
        <v>493</v>
      </c>
      <c r="E59" s="266" t="s">
        <v>43</v>
      </c>
      <c r="F59" s="268">
        <f>'Memoria de Rubros'!G420</f>
        <v>41.615380000000009</v>
      </c>
      <c r="G59" s="268">
        <f>'52'!G42</f>
        <v>1.3699999999999999</v>
      </c>
      <c r="H59" s="268">
        <f t="shared" si="1"/>
        <v>57.013070600000006</v>
      </c>
      <c r="K59" s="113"/>
      <c r="L59" s="113"/>
    </row>
    <row r="60" spans="2:12" x14ac:dyDescent="0.25">
      <c r="B60" s="226">
        <v>53</v>
      </c>
      <c r="C60" s="266" t="s">
        <v>508</v>
      </c>
      <c r="D60" s="267" t="s">
        <v>573</v>
      </c>
      <c r="E60" s="266" t="s">
        <v>48</v>
      </c>
      <c r="F60" s="268">
        <f>'Memoria de Rubros'!G426</f>
        <v>4</v>
      </c>
      <c r="G60" s="268">
        <f>'53'!G37</f>
        <v>122.9965</v>
      </c>
      <c r="H60" s="268">
        <f>F60*G60</f>
        <v>491.98599999999999</v>
      </c>
      <c r="K60" s="113"/>
      <c r="L60" s="113"/>
    </row>
    <row r="61" spans="2:12" x14ac:dyDescent="0.25">
      <c r="B61" s="352">
        <v>54</v>
      </c>
      <c r="C61" s="266" t="s">
        <v>446</v>
      </c>
      <c r="D61" s="267" t="s">
        <v>71</v>
      </c>
      <c r="E61" s="266" t="s">
        <v>38</v>
      </c>
      <c r="F61" s="268">
        <f>'Memoria de Rubros'!G433</f>
        <v>267.90499999999997</v>
      </c>
      <c r="G61" s="268">
        <f>'54'!G35</f>
        <v>0.22</v>
      </c>
      <c r="H61" s="228">
        <f t="shared" si="0"/>
        <v>58.94</v>
      </c>
      <c r="J61" s="71">
        <f>H64-J10-J43</f>
        <v>42957.760383400026</v>
      </c>
      <c r="K61" s="113"/>
      <c r="L61" s="113"/>
    </row>
    <row r="62" spans="2:12" x14ac:dyDescent="0.25">
      <c r="B62" s="367" t="s">
        <v>7</v>
      </c>
      <c r="C62" s="367"/>
      <c r="D62" s="367"/>
      <c r="E62" s="367"/>
      <c r="F62" s="367"/>
      <c r="G62" s="24"/>
      <c r="H62" s="350">
        <f>SUM(H8:H61)</f>
        <v>80423.610383400024</v>
      </c>
      <c r="K62" s="113"/>
      <c r="L62" s="113"/>
    </row>
    <row r="63" spans="2:12" x14ac:dyDescent="0.25">
      <c r="B63" s="367" t="s">
        <v>8</v>
      </c>
      <c r="C63" s="367"/>
      <c r="D63" s="367"/>
      <c r="E63" s="367"/>
      <c r="F63" s="367"/>
      <c r="G63" s="349">
        <v>0.14000000000000001</v>
      </c>
      <c r="H63" s="350">
        <f>ROUND(0.14*H62,2)</f>
        <v>11259.31</v>
      </c>
      <c r="K63" s="113"/>
      <c r="L63" s="113"/>
    </row>
    <row r="64" spans="2:12" x14ac:dyDescent="0.25">
      <c r="B64" s="368" t="s">
        <v>9</v>
      </c>
      <c r="C64" s="368"/>
      <c r="D64" s="368"/>
      <c r="E64" s="368"/>
      <c r="F64" s="368"/>
      <c r="G64" s="24"/>
      <c r="H64" s="351">
        <f>SUM(H62:H63)</f>
        <v>91682.920383400022</v>
      </c>
      <c r="K64" s="113"/>
      <c r="L64" s="113"/>
    </row>
    <row r="65" spans="2:8" x14ac:dyDescent="0.25">
      <c r="B65" s="1"/>
      <c r="C65" s="2"/>
      <c r="D65" s="3"/>
      <c r="E65" s="4"/>
      <c r="F65" s="5"/>
      <c r="G65" s="5"/>
      <c r="H65" s="5"/>
    </row>
    <row r="66" spans="2:8" x14ac:dyDescent="0.25">
      <c r="B66" s="1"/>
      <c r="C66" s="2"/>
      <c r="D66" s="3"/>
      <c r="E66" s="4"/>
      <c r="F66" s="5"/>
      <c r="G66" s="5"/>
      <c r="H66" s="5"/>
    </row>
    <row r="67" spans="2:8" x14ac:dyDescent="0.25">
      <c r="B67" s="61" t="s">
        <v>10</v>
      </c>
      <c r="D67" s="374" t="s">
        <v>571</v>
      </c>
      <c r="E67" s="374"/>
      <c r="F67" s="374"/>
      <c r="G67" s="374"/>
      <c r="H67" s="348"/>
    </row>
    <row r="68" spans="2:8" x14ac:dyDescent="0.25">
      <c r="B68" s="62"/>
      <c r="C68" s="348"/>
      <c r="D68" s="374"/>
      <c r="E68" s="374"/>
      <c r="F68" s="374"/>
      <c r="G68" s="374"/>
      <c r="H68" s="348"/>
    </row>
    <row r="69" spans="2:8" x14ac:dyDescent="0.25">
      <c r="B69" s="373" t="s">
        <v>570</v>
      </c>
      <c r="C69" s="373"/>
      <c r="D69" s="375" t="s">
        <v>572</v>
      </c>
      <c r="E69" s="375"/>
      <c r="F69" s="375"/>
      <c r="G69" s="375"/>
      <c r="H69" s="348"/>
    </row>
    <row r="70" spans="2:8" x14ac:dyDescent="0.25">
      <c r="D70" s="65"/>
      <c r="E70" s="65"/>
      <c r="F70" s="65"/>
      <c r="G70" s="65"/>
      <c r="H70" s="65"/>
    </row>
    <row r="71" spans="2:8" ht="13.2" customHeight="1" x14ac:dyDescent="0.25">
      <c r="B71" s="63" t="s">
        <v>213</v>
      </c>
      <c r="C71" s="361" t="s">
        <v>567</v>
      </c>
      <c r="D71" s="361"/>
      <c r="E71" s="361"/>
      <c r="F71" s="361"/>
      <c r="G71" s="361"/>
      <c r="H71" s="361"/>
    </row>
    <row r="72" spans="2:8" x14ac:dyDescent="0.25">
      <c r="B72" s="64"/>
      <c r="C72" s="361"/>
      <c r="D72" s="361"/>
      <c r="E72" s="361"/>
      <c r="F72" s="361"/>
      <c r="G72" s="361"/>
      <c r="H72" s="361"/>
    </row>
    <row r="73" spans="2:8" x14ac:dyDescent="0.25">
      <c r="B73" s="64"/>
      <c r="C73" s="361"/>
      <c r="D73" s="361"/>
      <c r="E73" s="361"/>
      <c r="F73" s="361"/>
      <c r="G73" s="361"/>
      <c r="H73" s="361"/>
    </row>
    <row r="74" spans="2:8" x14ac:dyDescent="0.25">
      <c r="B74" s="64"/>
      <c r="C74" s="361"/>
      <c r="D74" s="361"/>
      <c r="E74" s="361"/>
      <c r="F74" s="361"/>
      <c r="G74" s="361"/>
      <c r="H74" s="361"/>
    </row>
    <row r="75" spans="2:8" x14ac:dyDescent="0.25">
      <c r="C75" s="361"/>
      <c r="D75" s="361"/>
      <c r="E75" s="361"/>
      <c r="F75" s="361"/>
      <c r="G75" s="361"/>
      <c r="H75" s="361"/>
    </row>
    <row r="76" spans="2:8" x14ac:dyDescent="0.25">
      <c r="C76" s="346"/>
      <c r="D76" s="346"/>
      <c r="E76" s="346"/>
      <c r="F76" s="346"/>
      <c r="G76" s="346"/>
      <c r="H76" s="346"/>
    </row>
    <row r="77" spans="2:8" x14ac:dyDescent="0.25">
      <c r="C77" s="346"/>
      <c r="D77" s="346"/>
      <c r="E77" s="346"/>
      <c r="F77" s="346"/>
      <c r="G77" s="346"/>
      <c r="H77" s="346"/>
    </row>
    <row r="78" spans="2:8" x14ac:dyDescent="0.25">
      <c r="C78" s="346"/>
      <c r="D78" s="346"/>
      <c r="E78" s="346"/>
      <c r="F78" s="346"/>
      <c r="G78" s="346"/>
      <c r="H78" s="346"/>
    </row>
    <row r="79" spans="2:8" x14ac:dyDescent="0.25">
      <c r="C79" s="346"/>
      <c r="D79" s="346"/>
      <c r="E79" s="346"/>
      <c r="F79" s="346"/>
      <c r="G79" s="346"/>
      <c r="H79" s="346"/>
    </row>
    <row r="80" spans="2:8" x14ac:dyDescent="0.25">
      <c r="C80" s="346"/>
      <c r="D80" s="346"/>
      <c r="E80" s="346"/>
      <c r="F80" s="346"/>
      <c r="G80" s="346"/>
      <c r="H80" s="346"/>
    </row>
    <row r="81" spans="2:9" x14ac:dyDescent="0.25">
      <c r="C81" s="346"/>
      <c r="D81" s="346"/>
      <c r="E81" s="346"/>
      <c r="F81" s="346"/>
      <c r="G81" s="346"/>
      <c r="H81" s="346"/>
    </row>
    <row r="82" spans="2:9" x14ac:dyDescent="0.25">
      <c r="C82" s="346"/>
      <c r="D82" s="346"/>
      <c r="E82" s="346"/>
      <c r="F82" s="346"/>
      <c r="G82" s="346"/>
      <c r="H82" s="346"/>
    </row>
    <row r="83" spans="2:9" x14ac:dyDescent="0.25">
      <c r="C83" s="346"/>
      <c r="D83" s="346"/>
      <c r="E83" s="346"/>
      <c r="F83" s="346"/>
      <c r="G83" s="346"/>
      <c r="H83" s="346"/>
    </row>
    <row r="84" spans="2:9" x14ac:dyDescent="0.25">
      <c r="C84" s="345"/>
      <c r="D84" s="345"/>
      <c r="E84" s="345"/>
      <c r="F84" s="345"/>
      <c r="G84" s="345"/>
      <c r="H84" s="345"/>
    </row>
    <row r="85" spans="2:9" x14ac:dyDescent="0.25">
      <c r="C85" s="345"/>
      <c r="D85" s="345"/>
      <c r="E85" s="345"/>
      <c r="F85" s="345"/>
      <c r="G85" s="345"/>
      <c r="H85" s="345"/>
    </row>
    <row r="86" spans="2:9" x14ac:dyDescent="0.25">
      <c r="B86" s="360" t="s">
        <v>270</v>
      </c>
      <c r="C86" s="360"/>
      <c r="E86" s="360" t="s">
        <v>271</v>
      </c>
      <c r="F86" s="360"/>
      <c r="G86" s="84"/>
      <c r="H86" s="360" t="s">
        <v>272</v>
      </c>
      <c r="I86" s="360"/>
    </row>
    <row r="87" spans="2:9" ht="13.2" customHeight="1" x14ac:dyDescent="0.25">
      <c r="B87" s="359" t="s">
        <v>273</v>
      </c>
      <c r="C87" s="359"/>
      <c r="E87" s="87" t="s">
        <v>275</v>
      </c>
      <c r="G87" s="85"/>
      <c r="H87" s="88" t="s">
        <v>518</v>
      </c>
    </row>
    <row r="88" spans="2:9" x14ac:dyDescent="0.25">
      <c r="B88" s="86"/>
      <c r="C88" s="86"/>
    </row>
    <row r="335" spans="1:1" x14ac:dyDescent="0.25">
      <c r="A335" t="e">
        <f>Presupuesto</f>
        <v>#NAME?</v>
      </c>
    </row>
  </sheetData>
  <mergeCells count="22">
    <mergeCell ref="D4:H4"/>
    <mergeCell ref="B5:C5"/>
    <mergeCell ref="D5:H5"/>
    <mergeCell ref="B69:C69"/>
    <mergeCell ref="D67:G68"/>
    <mergeCell ref="D69:G69"/>
    <mergeCell ref="B87:C87"/>
    <mergeCell ref="E86:F86"/>
    <mergeCell ref="H86:I86"/>
    <mergeCell ref="C71:H75"/>
    <mergeCell ref="A1:A5"/>
    <mergeCell ref="B1:H1"/>
    <mergeCell ref="B86:C86"/>
    <mergeCell ref="B6:H6"/>
    <mergeCell ref="B62:F62"/>
    <mergeCell ref="B63:F63"/>
    <mergeCell ref="B64:F64"/>
    <mergeCell ref="I1:I5"/>
    <mergeCell ref="B2:H2"/>
    <mergeCell ref="B3:C3"/>
    <mergeCell ref="D3:H3"/>
    <mergeCell ref="B4:C4"/>
  </mergeCells>
  <phoneticPr fontId="0" type="noConversion"/>
  <pageMargins left="0.7" right="0.7" top="0.75" bottom="0.75" header="0.3" footer="0.3"/>
  <pageSetup paperSize="9" scale="79" fitToHeight="0" orientation="portrait" r:id="rId1"/>
  <headerFooter alignWithMargins="0">
    <oddHeader>&amp;R- InterPro -</oddHeader>
  </headerFooter>
  <rowBreaks count="1" manualBreakCount="1">
    <brk id="64" max="8" man="1"/>
  </rowBreaks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0" workbookViewId="0">
      <selection activeCell="A21" sqref="A21:F21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Presupuesto!B25</f>
        <v>18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Presupuesto!C25</f>
        <v>508034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Presupuesto!D25</f>
        <v>Mamposteria de bloque e=15cm.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Presupuesto!E25</f>
        <v>m2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ROUND(0.05*G33,2)</f>
        <v>0.19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0.19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107</v>
      </c>
      <c r="B17" s="213" t="s">
        <v>108</v>
      </c>
      <c r="C17" s="201" t="s">
        <v>109</v>
      </c>
      <c r="D17" s="203">
        <v>0.12</v>
      </c>
      <c r="E17" s="204">
        <v>7.15</v>
      </c>
      <c r="F17" s="230"/>
      <c r="G17" s="204">
        <f>ROUND(D17*E17,2)</f>
        <v>0.86</v>
      </c>
    </row>
    <row r="18" spans="1:7" x14ac:dyDescent="0.25">
      <c r="A18" s="205" t="s">
        <v>114</v>
      </c>
      <c r="B18" s="214" t="s">
        <v>115</v>
      </c>
      <c r="C18" s="205" t="s">
        <v>43</v>
      </c>
      <c r="D18" s="207">
        <v>0.02</v>
      </c>
      <c r="E18" s="208">
        <v>15</v>
      </c>
      <c r="F18" s="231"/>
      <c r="G18" s="208">
        <f t="shared" ref="G18:G20" si="0">ROUND(D18*E18,2)</f>
        <v>0.3</v>
      </c>
    </row>
    <row r="19" spans="1:7" x14ac:dyDescent="0.25">
      <c r="A19" s="205" t="s">
        <v>144</v>
      </c>
      <c r="B19" s="214" t="s">
        <v>145</v>
      </c>
      <c r="C19" s="205" t="s">
        <v>48</v>
      </c>
      <c r="D19" s="207">
        <v>13</v>
      </c>
      <c r="E19" s="208">
        <v>0.33</v>
      </c>
      <c r="F19" s="231"/>
      <c r="G19" s="208">
        <f t="shared" si="0"/>
        <v>4.29</v>
      </c>
    </row>
    <row r="20" spans="1:7" x14ac:dyDescent="0.25">
      <c r="A20" s="209" t="s">
        <v>146</v>
      </c>
      <c r="B20" s="216" t="s">
        <v>147</v>
      </c>
      <c r="C20" s="209" t="s">
        <v>148</v>
      </c>
      <c r="D20" s="211">
        <v>0.66</v>
      </c>
      <c r="E20" s="212">
        <v>0.13</v>
      </c>
      <c r="F20" s="232"/>
      <c r="G20" s="212">
        <f t="shared" si="0"/>
        <v>0.09</v>
      </c>
    </row>
    <row r="21" spans="1:7" x14ac:dyDescent="0.25">
      <c r="A21" s="398" t="s">
        <v>25</v>
      </c>
      <c r="B21" s="398"/>
      <c r="C21" s="398"/>
      <c r="D21" s="398"/>
      <c r="E21" s="398"/>
      <c r="F21" s="398"/>
      <c r="G21" s="24">
        <f>SUM(G17:G20)</f>
        <v>5.54</v>
      </c>
    </row>
    <row r="22" spans="1:7" x14ac:dyDescent="0.25">
      <c r="A22" s="14"/>
      <c r="B22" s="15"/>
      <c r="C22" s="14"/>
      <c r="D22" s="16"/>
      <c r="E22" s="17"/>
      <c r="F22" s="16"/>
      <c r="G22" s="17"/>
    </row>
    <row r="23" spans="1:7" x14ac:dyDescent="0.25">
      <c r="A23" s="395" t="s">
        <v>26</v>
      </c>
      <c r="B23" s="396"/>
      <c r="C23" s="396"/>
      <c r="D23" s="396"/>
      <c r="E23" s="396"/>
      <c r="F23" s="396"/>
      <c r="G23" s="397"/>
    </row>
    <row r="24" spans="1:7" x14ac:dyDescent="0.25">
      <c r="A24" s="27" t="s">
        <v>18</v>
      </c>
      <c r="B24" s="27" t="s">
        <v>19</v>
      </c>
      <c r="C24" s="27" t="s">
        <v>3</v>
      </c>
      <c r="D24" s="27" t="s">
        <v>4</v>
      </c>
      <c r="E24" s="27" t="s">
        <v>27</v>
      </c>
      <c r="F24" s="27" t="s">
        <v>28</v>
      </c>
      <c r="G24" s="27" t="s">
        <v>22</v>
      </c>
    </row>
    <row r="25" spans="1:7" x14ac:dyDescent="0.25">
      <c r="A25" s="22"/>
      <c r="B25" s="25"/>
      <c r="C25" s="22"/>
      <c r="D25" s="23"/>
      <c r="E25" s="24"/>
      <c r="F25" s="26"/>
      <c r="G25" s="21"/>
    </row>
    <row r="26" spans="1:7" x14ac:dyDescent="0.25">
      <c r="A26" s="393" t="s">
        <v>29</v>
      </c>
      <c r="B26" s="394"/>
      <c r="C26" s="394"/>
      <c r="D26" s="394"/>
      <c r="E26" s="394"/>
      <c r="F26" s="394"/>
      <c r="G26" s="24">
        <v>0</v>
      </c>
    </row>
    <row r="27" spans="1:7" x14ac:dyDescent="0.25">
      <c r="A27" s="14"/>
      <c r="B27" s="15"/>
      <c r="C27" s="14"/>
      <c r="D27" s="16"/>
      <c r="E27" s="17"/>
      <c r="F27" s="16"/>
      <c r="G27" s="17"/>
    </row>
    <row r="28" spans="1:7" x14ac:dyDescent="0.25">
      <c r="A28" s="395" t="s">
        <v>30</v>
      </c>
      <c r="B28" s="396"/>
      <c r="C28" s="396"/>
      <c r="D28" s="396"/>
      <c r="E28" s="396"/>
      <c r="F28" s="396"/>
      <c r="G28" s="397"/>
    </row>
    <row r="29" spans="1:7" x14ac:dyDescent="0.25">
      <c r="A29" s="27" t="s">
        <v>18</v>
      </c>
      <c r="B29" s="27" t="s">
        <v>19</v>
      </c>
      <c r="C29" s="27"/>
      <c r="D29" s="27" t="s">
        <v>31</v>
      </c>
      <c r="E29" s="27" t="s">
        <v>32</v>
      </c>
      <c r="F29" s="27" t="s">
        <v>21</v>
      </c>
      <c r="G29" s="27" t="s">
        <v>22</v>
      </c>
    </row>
    <row r="30" spans="1:7" x14ac:dyDescent="0.25">
      <c r="A30" s="201" t="s">
        <v>74</v>
      </c>
      <c r="B30" s="213" t="s">
        <v>75</v>
      </c>
      <c r="C30" s="190"/>
      <c r="D30" s="203">
        <v>1</v>
      </c>
      <c r="E30" s="204">
        <v>3.41</v>
      </c>
      <c r="F30" s="203">
        <v>0.33</v>
      </c>
      <c r="G30" s="204">
        <f>ROUND(D30*E30*F30,2)</f>
        <v>1.1299999999999999</v>
      </c>
    </row>
    <row r="31" spans="1:7" x14ac:dyDescent="0.25">
      <c r="A31" s="205" t="s">
        <v>76</v>
      </c>
      <c r="B31" s="214" t="s">
        <v>77</v>
      </c>
      <c r="C31" s="215"/>
      <c r="D31" s="207">
        <v>2</v>
      </c>
      <c r="E31" s="208">
        <v>3.45</v>
      </c>
      <c r="F31" s="207">
        <v>0.33</v>
      </c>
      <c r="G31" s="208">
        <f t="shared" ref="G31:G32" si="1">ROUND(D31*E31*F31,2)</f>
        <v>2.2799999999999998</v>
      </c>
    </row>
    <row r="32" spans="1:7" x14ac:dyDescent="0.25">
      <c r="A32" s="209" t="s">
        <v>90</v>
      </c>
      <c r="B32" s="216" t="s">
        <v>91</v>
      </c>
      <c r="C32" s="217"/>
      <c r="D32" s="211">
        <v>0.25</v>
      </c>
      <c r="E32" s="212">
        <v>3.83</v>
      </c>
      <c r="F32" s="211">
        <v>0.33</v>
      </c>
      <c r="G32" s="212">
        <f t="shared" si="1"/>
        <v>0.32</v>
      </c>
    </row>
    <row r="33" spans="1:7" x14ac:dyDescent="0.25">
      <c r="A33" s="398" t="s">
        <v>33</v>
      </c>
      <c r="B33" s="398"/>
      <c r="C33" s="398"/>
      <c r="D33" s="398"/>
      <c r="E33" s="398"/>
      <c r="F33" s="398"/>
      <c r="G33" s="24">
        <f>SUM(G30:G32)</f>
        <v>3.7299999999999995</v>
      </c>
    </row>
    <row r="34" spans="1:7" x14ac:dyDescent="0.25">
      <c r="A34" s="14"/>
      <c r="B34" s="15"/>
      <c r="C34" s="14"/>
      <c r="D34" s="16"/>
      <c r="E34" s="17"/>
      <c r="F34" s="16"/>
      <c r="G34" s="17"/>
    </row>
    <row r="35" spans="1:7" x14ac:dyDescent="0.25">
      <c r="A35" s="399" t="s">
        <v>34</v>
      </c>
      <c r="B35" s="400"/>
      <c r="C35" s="400"/>
      <c r="D35" s="400"/>
      <c r="E35" s="400"/>
      <c r="F35" s="400"/>
      <c r="G35" s="5">
        <f>+G33+G26+G21+G13</f>
        <v>9.4599999999999991</v>
      </c>
    </row>
    <row r="36" spans="1:7" x14ac:dyDescent="0.25">
      <c r="A36" s="28"/>
      <c r="B36" s="29"/>
      <c r="C36" s="29"/>
      <c r="D36" s="29"/>
      <c r="E36" s="29"/>
      <c r="F36" s="29"/>
      <c r="G36" s="5"/>
    </row>
    <row r="37" spans="1:7" x14ac:dyDescent="0.25">
      <c r="A37" s="401" t="s">
        <v>35</v>
      </c>
      <c r="B37" s="402"/>
      <c r="C37" s="402"/>
      <c r="D37" s="402"/>
      <c r="E37" s="402"/>
      <c r="F37" s="402"/>
      <c r="G37" s="403"/>
    </row>
    <row r="38" spans="1:7" x14ac:dyDescent="0.25">
      <c r="A38" s="399" t="s">
        <v>78</v>
      </c>
      <c r="B38" s="400"/>
      <c r="C38" s="400"/>
      <c r="D38" s="400"/>
      <c r="E38" s="400"/>
      <c r="F38" s="400"/>
      <c r="G38" s="5">
        <f>ROUND(0.21*G35,2)</f>
        <v>1.99</v>
      </c>
    </row>
    <row r="39" spans="1:7" x14ac:dyDescent="0.25">
      <c r="A39" s="14"/>
      <c r="B39" s="15"/>
      <c r="C39" s="14"/>
      <c r="D39" s="16"/>
      <c r="E39" s="17"/>
      <c r="F39" s="16"/>
      <c r="G39" s="17"/>
    </row>
    <row r="40" spans="1:7" x14ac:dyDescent="0.25">
      <c r="A40" s="391" t="s">
        <v>36</v>
      </c>
      <c r="B40" s="392"/>
      <c r="C40" s="392"/>
      <c r="D40" s="392"/>
      <c r="E40" s="392"/>
      <c r="F40" s="392"/>
      <c r="G40" s="200">
        <f>G35+G38</f>
        <v>11.45</v>
      </c>
    </row>
  </sheetData>
  <mergeCells count="19">
    <mergeCell ref="A23:G23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1:F21"/>
    <mergeCell ref="A40:F40"/>
    <mergeCell ref="A26:F26"/>
    <mergeCell ref="A28:G28"/>
    <mergeCell ref="A33:F33"/>
    <mergeCell ref="A35:F35"/>
    <mergeCell ref="A37:G37"/>
    <mergeCell ref="A38:F38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K21" sqref="K21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16">
        <f>Presupuesto!B26</f>
        <v>19</v>
      </c>
      <c r="C3" s="114"/>
      <c r="D3" s="114"/>
      <c r="E3" s="37"/>
      <c r="F3" s="115"/>
      <c r="G3" s="115"/>
    </row>
    <row r="4" spans="1:7" x14ac:dyDescent="0.25">
      <c r="A4" s="37" t="s">
        <v>13</v>
      </c>
      <c r="B4" s="414" t="str">
        <f>Presupuesto!C26</f>
        <v>516883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Presupuesto!D26</f>
        <v xml:space="preserve">Pintura latex paredes 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Presupuesto!E26</f>
        <v>m2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 t="s">
        <v>79</v>
      </c>
      <c r="B12" s="49" t="s">
        <v>80</v>
      </c>
      <c r="C12" s="50" t="s">
        <v>81</v>
      </c>
      <c r="D12" s="51" t="s">
        <v>106</v>
      </c>
      <c r="E12" s="52"/>
      <c r="F12" s="51"/>
      <c r="G12" s="52">
        <f>ROUND(0.05*G32,2)</f>
        <v>0.09</v>
      </c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f>G12</f>
        <v>0.09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x14ac:dyDescent="0.25">
      <c r="A17" s="167" t="s">
        <v>146</v>
      </c>
      <c r="B17" s="175" t="s">
        <v>147</v>
      </c>
      <c r="C17" s="167" t="s">
        <v>148</v>
      </c>
      <c r="D17" s="169">
        <v>0.5</v>
      </c>
      <c r="E17" s="170">
        <v>0.14000000000000001</v>
      </c>
      <c r="F17" s="176"/>
      <c r="G17" s="170">
        <f>ROUND(D17*E17,2)</f>
        <v>7.0000000000000007E-2</v>
      </c>
    </row>
    <row r="18" spans="1:7" x14ac:dyDescent="0.25">
      <c r="A18" s="177" t="s">
        <v>310</v>
      </c>
      <c r="B18" s="178" t="s">
        <v>311</v>
      </c>
      <c r="C18" s="177" t="s">
        <v>312</v>
      </c>
      <c r="D18" s="179">
        <v>0.2</v>
      </c>
      <c r="E18" s="180">
        <v>0.6</v>
      </c>
      <c r="F18" s="181"/>
      <c r="G18" s="180">
        <f t="shared" ref="G18:G20" si="0">ROUND(D18*E18,2)</f>
        <v>0.12</v>
      </c>
    </row>
    <row r="19" spans="1:7" x14ac:dyDescent="0.25">
      <c r="A19" s="177" t="s">
        <v>343</v>
      </c>
      <c r="B19" s="178" t="s">
        <v>344</v>
      </c>
      <c r="C19" s="177" t="s">
        <v>345</v>
      </c>
      <c r="D19" s="179">
        <v>0.05</v>
      </c>
      <c r="E19" s="180">
        <v>18.600000000000001</v>
      </c>
      <c r="F19" s="181"/>
      <c r="G19" s="180">
        <f t="shared" si="0"/>
        <v>0.93</v>
      </c>
    </row>
    <row r="20" spans="1:7" x14ac:dyDescent="0.25">
      <c r="A20" s="171" t="s">
        <v>346</v>
      </c>
      <c r="B20" s="182" t="s">
        <v>347</v>
      </c>
      <c r="C20" s="171" t="s">
        <v>124</v>
      </c>
      <c r="D20" s="173">
        <v>0.15</v>
      </c>
      <c r="E20" s="174">
        <v>0.25</v>
      </c>
      <c r="F20" s="183"/>
      <c r="G20" s="174">
        <f t="shared" si="0"/>
        <v>0.04</v>
      </c>
    </row>
    <row r="21" spans="1:7" x14ac:dyDescent="0.25">
      <c r="A21" s="378" t="s">
        <v>25</v>
      </c>
      <c r="B21" s="378"/>
      <c r="C21" s="378"/>
      <c r="D21" s="378"/>
      <c r="E21" s="378"/>
      <c r="F21" s="378"/>
      <c r="G21" s="56">
        <f>SUM(G17:G20)</f>
        <v>1.1600000000000001</v>
      </c>
    </row>
    <row r="22" spans="1:7" x14ac:dyDescent="0.25">
      <c r="A22" s="45"/>
      <c r="B22" s="46"/>
      <c r="C22" s="45"/>
      <c r="D22" s="47"/>
      <c r="E22" s="48"/>
      <c r="F22" s="47"/>
      <c r="G22" s="48"/>
    </row>
    <row r="23" spans="1:7" x14ac:dyDescent="0.25">
      <c r="A23" s="380" t="s">
        <v>26</v>
      </c>
      <c r="B23" s="381"/>
      <c r="C23" s="381"/>
      <c r="D23" s="381"/>
      <c r="E23" s="381"/>
      <c r="F23" s="381"/>
      <c r="G23" s="382"/>
    </row>
    <row r="24" spans="1:7" x14ac:dyDescent="0.25">
      <c r="A24" s="72" t="s">
        <v>18</v>
      </c>
      <c r="B24" s="72" t="s">
        <v>19</v>
      </c>
      <c r="C24" s="72" t="s">
        <v>3</v>
      </c>
      <c r="D24" s="72" t="s">
        <v>4</v>
      </c>
      <c r="E24" s="72" t="s">
        <v>27</v>
      </c>
      <c r="F24" s="72" t="s">
        <v>28</v>
      </c>
      <c r="G24" s="72" t="s">
        <v>22</v>
      </c>
    </row>
    <row r="25" spans="1:7" x14ac:dyDescent="0.25">
      <c r="A25" s="54"/>
      <c r="B25" s="53"/>
      <c r="C25" s="54"/>
      <c r="D25" s="55"/>
      <c r="E25" s="56"/>
      <c r="F25" s="57"/>
      <c r="G25" s="52"/>
    </row>
    <row r="26" spans="1:7" x14ac:dyDescent="0.25">
      <c r="A26" s="412" t="s">
        <v>29</v>
      </c>
      <c r="B26" s="413"/>
      <c r="C26" s="413"/>
      <c r="D26" s="413"/>
      <c r="E26" s="413"/>
      <c r="F26" s="413"/>
      <c r="G26" s="56">
        <v>0</v>
      </c>
    </row>
    <row r="27" spans="1:7" x14ac:dyDescent="0.25">
      <c r="A27" s="45"/>
      <c r="B27" s="46"/>
      <c r="C27" s="45"/>
      <c r="D27" s="47"/>
      <c r="E27" s="48"/>
      <c r="F27" s="47"/>
      <c r="G27" s="48"/>
    </row>
    <row r="28" spans="1:7" x14ac:dyDescent="0.25">
      <c r="A28" s="380" t="s">
        <v>30</v>
      </c>
      <c r="B28" s="381"/>
      <c r="C28" s="381"/>
      <c r="D28" s="381"/>
      <c r="E28" s="381"/>
      <c r="F28" s="381"/>
      <c r="G28" s="382"/>
    </row>
    <row r="29" spans="1:7" x14ac:dyDescent="0.25">
      <c r="A29" s="72" t="s">
        <v>18</v>
      </c>
      <c r="B29" s="72" t="s">
        <v>19</v>
      </c>
      <c r="C29" s="72"/>
      <c r="D29" s="72" t="s">
        <v>31</v>
      </c>
      <c r="E29" s="72" t="s">
        <v>32</v>
      </c>
      <c r="F29" s="72" t="s">
        <v>21</v>
      </c>
      <c r="G29" s="72" t="s">
        <v>22</v>
      </c>
    </row>
    <row r="30" spans="1:7" x14ac:dyDescent="0.25">
      <c r="A30" s="167" t="s">
        <v>74</v>
      </c>
      <c r="B30" s="175" t="s">
        <v>75</v>
      </c>
      <c r="C30" s="184"/>
      <c r="D30" s="169">
        <v>1</v>
      </c>
      <c r="E30" s="170">
        <v>3.41</v>
      </c>
      <c r="F30" s="169">
        <v>0.25</v>
      </c>
      <c r="G30" s="170">
        <f>ROUND(D30*E30*F30,2)</f>
        <v>0.85</v>
      </c>
    </row>
    <row r="31" spans="1:7" x14ac:dyDescent="0.25">
      <c r="A31" s="171" t="s">
        <v>76</v>
      </c>
      <c r="B31" s="182" t="s">
        <v>77</v>
      </c>
      <c r="C31" s="186"/>
      <c r="D31" s="173">
        <v>1</v>
      </c>
      <c r="E31" s="174">
        <v>3.45</v>
      </c>
      <c r="F31" s="173">
        <v>0.25</v>
      </c>
      <c r="G31" s="174">
        <f>ROUND(D31*E31*F31,2)</f>
        <v>0.86</v>
      </c>
    </row>
    <row r="32" spans="1:7" x14ac:dyDescent="0.25">
      <c r="A32" s="378" t="s">
        <v>33</v>
      </c>
      <c r="B32" s="378"/>
      <c r="C32" s="378"/>
      <c r="D32" s="378"/>
      <c r="E32" s="378"/>
      <c r="F32" s="378"/>
      <c r="G32" s="56">
        <f>SUM(G30:G31)</f>
        <v>1.71</v>
      </c>
    </row>
    <row r="33" spans="1:7" x14ac:dyDescent="0.25">
      <c r="A33" s="45"/>
      <c r="B33" s="46"/>
      <c r="C33" s="45"/>
      <c r="D33" s="47"/>
      <c r="E33" s="48"/>
      <c r="F33" s="47"/>
      <c r="G33" s="48"/>
    </row>
    <row r="34" spans="1:7" x14ac:dyDescent="0.25">
      <c r="A34" s="383" t="s">
        <v>34</v>
      </c>
      <c r="B34" s="384"/>
      <c r="C34" s="384"/>
      <c r="D34" s="384"/>
      <c r="E34" s="384"/>
      <c r="F34" s="384"/>
      <c r="G34" s="58">
        <f>+G32+G26+G21+G13</f>
        <v>2.96</v>
      </c>
    </row>
    <row r="35" spans="1:7" x14ac:dyDescent="0.25">
      <c r="A35" s="117"/>
      <c r="B35" s="118"/>
      <c r="C35" s="118"/>
      <c r="D35" s="118"/>
      <c r="E35" s="118"/>
      <c r="F35" s="118"/>
      <c r="G35" s="58"/>
    </row>
    <row r="36" spans="1:7" x14ac:dyDescent="0.25">
      <c r="A36" s="385" t="s">
        <v>35</v>
      </c>
      <c r="B36" s="386"/>
      <c r="C36" s="386"/>
      <c r="D36" s="386"/>
      <c r="E36" s="386"/>
      <c r="F36" s="386"/>
      <c r="G36" s="387"/>
    </row>
    <row r="37" spans="1:7" x14ac:dyDescent="0.25">
      <c r="A37" s="383" t="s">
        <v>78</v>
      </c>
      <c r="B37" s="384"/>
      <c r="C37" s="384"/>
      <c r="D37" s="384"/>
      <c r="E37" s="384"/>
      <c r="F37" s="384"/>
      <c r="G37" s="58">
        <f>ROUND(0.21*G34,2)</f>
        <v>0.62</v>
      </c>
    </row>
    <row r="38" spans="1:7" x14ac:dyDescent="0.25">
      <c r="A38" s="45"/>
      <c r="B38" s="46"/>
      <c r="C38" s="45"/>
      <c r="D38" s="47"/>
      <c r="E38" s="48"/>
      <c r="F38" s="47"/>
      <c r="G38" s="48"/>
    </row>
    <row r="39" spans="1:7" x14ac:dyDescent="0.25">
      <c r="A39" s="376" t="s">
        <v>36</v>
      </c>
      <c r="B39" s="377"/>
      <c r="C39" s="377"/>
      <c r="D39" s="377"/>
      <c r="E39" s="377"/>
      <c r="F39" s="377"/>
      <c r="G39" s="166">
        <f>G34+G37</f>
        <v>3.58</v>
      </c>
    </row>
  </sheetData>
  <mergeCells count="19">
    <mergeCell ref="A39:F39"/>
    <mergeCell ref="A26:F26"/>
    <mergeCell ref="A28:G28"/>
    <mergeCell ref="A32:F32"/>
    <mergeCell ref="A34:F34"/>
    <mergeCell ref="A36:G36"/>
    <mergeCell ref="A37:F37"/>
    <mergeCell ref="A23:G23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1:F21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25" workbookViewId="0">
      <selection activeCell="L44" sqref="L44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Presupuesto!B27</f>
        <v>20</v>
      </c>
      <c r="C3" s="8"/>
      <c r="D3" s="8"/>
      <c r="E3" s="7"/>
      <c r="F3" s="9"/>
      <c r="G3" s="9"/>
    </row>
    <row r="4" spans="1:7" x14ac:dyDescent="0.25">
      <c r="A4" s="7" t="s">
        <v>13</v>
      </c>
      <c r="B4" s="256" t="str">
        <f>Presupuesto!C27</f>
        <v>514301</v>
      </c>
      <c r="C4" s="195"/>
      <c r="D4" s="195"/>
      <c r="E4" s="195"/>
      <c r="F4" s="195"/>
      <c r="G4" s="195"/>
    </row>
    <row r="5" spans="1:7" x14ac:dyDescent="0.25">
      <c r="A5" s="7" t="s">
        <v>14</v>
      </c>
      <c r="B5" s="256" t="str">
        <f>Presupuesto!D27</f>
        <v>Punto de agua fria PVC-R 1/2" empotrado</v>
      </c>
      <c r="C5" s="195"/>
      <c r="D5" s="195"/>
      <c r="E5" s="195"/>
      <c r="F5" s="195"/>
      <c r="G5" s="195"/>
    </row>
    <row r="6" spans="1:7" x14ac:dyDescent="0.25">
      <c r="A6" s="7" t="s">
        <v>15</v>
      </c>
      <c r="B6" s="256" t="str">
        <f>Presupuesto!E27</f>
        <v>u</v>
      </c>
      <c r="C6" s="195"/>
      <c r="D6" s="195"/>
      <c r="E6" s="195"/>
      <c r="F6" s="195"/>
      <c r="G6" s="195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ROUND(0.05*G35,2)</f>
        <v>0.28999999999999998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0.28999999999999998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149</v>
      </c>
      <c r="B17" s="213" t="s">
        <v>150</v>
      </c>
      <c r="C17" s="201" t="s">
        <v>48</v>
      </c>
      <c r="D17" s="203">
        <v>0.5</v>
      </c>
      <c r="E17" s="204">
        <v>0.3</v>
      </c>
      <c r="F17" s="230"/>
      <c r="G17" s="204">
        <f>ROUND(D17*E17,2)</f>
        <v>0.15</v>
      </c>
    </row>
    <row r="18" spans="1:7" x14ac:dyDescent="0.25">
      <c r="A18" s="205" t="s">
        <v>151</v>
      </c>
      <c r="B18" s="214" t="s">
        <v>152</v>
      </c>
      <c r="C18" s="205" t="s">
        <v>48</v>
      </c>
      <c r="D18" s="207">
        <v>1</v>
      </c>
      <c r="E18" s="208">
        <v>7.9</v>
      </c>
      <c r="F18" s="231"/>
      <c r="G18" s="208">
        <f t="shared" ref="G18:G23" si="0">ROUND(D18*E18,2)</f>
        <v>7.9</v>
      </c>
    </row>
    <row r="19" spans="1:7" x14ac:dyDescent="0.25">
      <c r="A19" s="205" t="s">
        <v>153</v>
      </c>
      <c r="B19" s="214" t="s">
        <v>154</v>
      </c>
      <c r="C19" s="205" t="s">
        <v>48</v>
      </c>
      <c r="D19" s="207">
        <v>0.33</v>
      </c>
      <c r="E19" s="208">
        <v>2.2000000000000002</v>
      </c>
      <c r="F19" s="231"/>
      <c r="G19" s="208">
        <f t="shared" si="0"/>
        <v>0.73</v>
      </c>
    </row>
    <row r="20" spans="1:7" x14ac:dyDescent="0.25">
      <c r="A20" s="205" t="s">
        <v>155</v>
      </c>
      <c r="B20" s="214" t="s">
        <v>156</v>
      </c>
      <c r="C20" s="205" t="s">
        <v>50</v>
      </c>
      <c r="D20" s="207">
        <v>3.5</v>
      </c>
      <c r="E20" s="208">
        <v>2</v>
      </c>
      <c r="F20" s="231"/>
      <c r="G20" s="208">
        <f t="shared" si="0"/>
        <v>7</v>
      </c>
    </row>
    <row r="21" spans="1:7" x14ac:dyDescent="0.25">
      <c r="A21" s="205" t="s">
        <v>157</v>
      </c>
      <c r="B21" s="214" t="s">
        <v>158</v>
      </c>
      <c r="C21" s="205" t="s">
        <v>48</v>
      </c>
      <c r="D21" s="207">
        <v>3</v>
      </c>
      <c r="E21" s="208">
        <v>0.45</v>
      </c>
      <c r="F21" s="231"/>
      <c r="G21" s="208">
        <f t="shared" si="0"/>
        <v>1.35</v>
      </c>
    </row>
    <row r="22" spans="1:7" x14ac:dyDescent="0.25">
      <c r="A22" s="205" t="s">
        <v>159</v>
      </c>
      <c r="B22" s="214" t="s">
        <v>160</v>
      </c>
      <c r="C22" s="205" t="s">
        <v>48</v>
      </c>
      <c r="D22" s="207">
        <v>1</v>
      </c>
      <c r="E22" s="208">
        <v>0.25</v>
      </c>
      <c r="F22" s="231"/>
      <c r="G22" s="208">
        <f t="shared" si="0"/>
        <v>0.25</v>
      </c>
    </row>
    <row r="23" spans="1:7" x14ac:dyDescent="0.25">
      <c r="A23" s="209" t="s">
        <v>161</v>
      </c>
      <c r="B23" s="216" t="s">
        <v>162</v>
      </c>
      <c r="C23" s="209" t="s">
        <v>48</v>
      </c>
      <c r="D23" s="211">
        <v>0.02</v>
      </c>
      <c r="E23" s="212">
        <v>9</v>
      </c>
      <c r="F23" s="232"/>
      <c r="G23" s="212">
        <f t="shared" si="0"/>
        <v>0.18</v>
      </c>
    </row>
    <row r="24" spans="1:7" x14ac:dyDescent="0.25">
      <c r="A24" s="398" t="s">
        <v>25</v>
      </c>
      <c r="B24" s="398"/>
      <c r="C24" s="398"/>
      <c r="D24" s="398"/>
      <c r="E24" s="398"/>
      <c r="F24" s="398"/>
      <c r="G24" s="24">
        <f>SUM(G17:G23)</f>
        <v>17.560000000000002</v>
      </c>
    </row>
    <row r="25" spans="1:7" x14ac:dyDescent="0.25">
      <c r="A25" s="14"/>
      <c r="B25" s="15"/>
      <c r="C25" s="14"/>
      <c r="D25" s="16"/>
      <c r="E25" s="17"/>
      <c r="F25" s="16"/>
      <c r="G25" s="17"/>
    </row>
    <row r="26" spans="1:7" x14ac:dyDescent="0.25">
      <c r="A26" s="395" t="s">
        <v>26</v>
      </c>
      <c r="B26" s="396"/>
      <c r="C26" s="396"/>
      <c r="D26" s="396"/>
      <c r="E26" s="396"/>
      <c r="F26" s="396"/>
      <c r="G26" s="397"/>
    </row>
    <row r="27" spans="1:7" x14ac:dyDescent="0.25">
      <c r="A27" s="27" t="s">
        <v>18</v>
      </c>
      <c r="B27" s="27" t="s">
        <v>19</v>
      </c>
      <c r="C27" s="27" t="s">
        <v>3</v>
      </c>
      <c r="D27" s="27" t="s">
        <v>4</v>
      </c>
      <c r="E27" s="27" t="s">
        <v>27</v>
      </c>
      <c r="F27" s="27" t="s">
        <v>28</v>
      </c>
      <c r="G27" s="27" t="s">
        <v>22</v>
      </c>
    </row>
    <row r="28" spans="1:7" x14ac:dyDescent="0.25">
      <c r="A28" s="22"/>
      <c r="B28" s="25"/>
      <c r="C28" s="22"/>
      <c r="D28" s="23"/>
      <c r="E28" s="24"/>
      <c r="F28" s="26"/>
      <c r="G28" s="21"/>
    </row>
    <row r="29" spans="1:7" x14ac:dyDescent="0.25">
      <c r="A29" s="393" t="s">
        <v>29</v>
      </c>
      <c r="B29" s="394"/>
      <c r="C29" s="394"/>
      <c r="D29" s="394"/>
      <c r="E29" s="394"/>
      <c r="F29" s="394"/>
      <c r="G29" s="24">
        <v>0</v>
      </c>
    </row>
    <row r="30" spans="1:7" x14ac:dyDescent="0.25">
      <c r="A30" s="14"/>
      <c r="B30" s="15"/>
      <c r="C30" s="14"/>
      <c r="D30" s="16"/>
      <c r="E30" s="17"/>
      <c r="F30" s="16"/>
      <c r="G30" s="17"/>
    </row>
    <row r="31" spans="1:7" x14ac:dyDescent="0.25">
      <c r="A31" s="395" t="s">
        <v>30</v>
      </c>
      <c r="B31" s="396"/>
      <c r="C31" s="396"/>
      <c r="D31" s="396"/>
      <c r="E31" s="396"/>
      <c r="F31" s="396"/>
      <c r="G31" s="397"/>
    </row>
    <row r="32" spans="1:7" x14ac:dyDescent="0.25">
      <c r="A32" s="27" t="s">
        <v>18</v>
      </c>
      <c r="B32" s="27" t="s">
        <v>19</v>
      </c>
      <c r="C32" s="27"/>
      <c r="D32" s="27" t="s">
        <v>31</v>
      </c>
      <c r="E32" s="27" t="s">
        <v>32</v>
      </c>
      <c r="F32" s="27" t="s">
        <v>21</v>
      </c>
      <c r="G32" s="27" t="s">
        <v>22</v>
      </c>
    </row>
    <row r="33" spans="1:7" x14ac:dyDescent="0.25">
      <c r="A33" s="201" t="s">
        <v>74</v>
      </c>
      <c r="B33" s="213" t="s">
        <v>75</v>
      </c>
      <c r="C33" s="190"/>
      <c r="D33" s="203">
        <v>1</v>
      </c>
      <c r="E33" s="204">
        <v>3.41</v>
      </c>
      <c r="F33" s="203">
        <v>0.24</v>
      </c>
      <c r="G33" s="204">
        <f>ROUND(D33*E33*F33,2)</f>
        <v>0.82</v>
      </c>
    </row>
    <row r="34" spans="1:7" x14ac:dyDescent="0.25">
      <c r="A34" s="209" t="s">
        <v>76</v>
      </c>
      <c r="B34" s="216" t="s">
        <v>77</v>
      </c>
      <c r="C34" s="217"/>
      <c r="D34" s="211">
        <v>6</v>
      </c>
      <c r="E34" s="212">
        <v>3.45</v>
      </c>
      <c r="F34" s="211">
        <v>0.24</v>
      </c>
      <c r="G34" s="212">
        <f>ROUND(D34*E34*F34,2)</f>
        <v>4.97</v>
      </c>
    </row>
    <row r="35" spans="1:7" x14ac:dyDescent="0.25">
      <c r="A35" s="398" t="s">
        <v>33</v>
      </c>
      <c r="B35" s="398"/>
      <c r="C35" s="398"/>
      <c r="D35" s="398"/>
      <c r="E35" s="398"/>
      <c r="F35" s="398"/>
      <c r="G35" s="24">
        <f>SUM(G33:G34)</f>
        <v>5.79</v>
      </c>
    </row>
    <row r="36" spans="1:7" x14ac:dyDescent="0.25">
      <c r="A36" s="14"/>
      <c r="B36" s="15"/>
      <c r="C36" s="14"/>
      <c r="D36" s="16"/>
      <c r="E36" s="17"/>
      <c r="F36" s="16"/>
      <c r="G36" s="17"/>
    </row>
    <row r="37" spans="1:7" x14ac:dyDescent="0.25">
      <c r="A37" s="399" t="s">
        <v>34</v>
      </c>
      <c r="B37" s="400"/>
      <c r="C37" s="400"/>
      <c r="D37" s="400"/>
      <c r="E37" s="400"/>
      <c r="F37" s="400"/>
      <c r="G37" s="5">
        <f>+G35+G29+G24+G13</f>
        <v>23.64</v>
      </c>
    </row>
    <row r="38" spans="1:7" x14ac:dyDescent="0.25">
      <c r="A38" s="28"/>
      <c r="B38" s="29"/>
      <c r="C38" s="29"/>
      <c r="D38" s="29"/>
      <c r="E38" s="29"/>
      <c r="F38" s="29"/>
      <c r="G38" s="5"/>
    </row>
    <row r="39" spans="1:7" x14ac:dyDescent="0.25">
      <c r="A39" s="401" t="s">
        <v>35</v>
      </c>
      <c r="B39" s="402"/>
      <c r="C39" s="402"/>
      <c r="D39" s="402"/>
      <c r="E39" s="402"/>
      <c r="F39" s="402"/>
      <c r="G39" s="403"/>
    </row>
    <row r="40" spans="1:7" x14ac:dyDescent="0.25">
      <c r="A40" s="399" t="s">
        <v>78</v>
      </c>
      <c r="B40" s="400"/>
      <c r="C40" s="400"/>
      <c r="D40" s="400"/>
      <c r="E40" s="400"/>
      <c r="F40" s="400"/>
      <c r="G40" s="5">
        <f>ROUND(0.21*G37,2)</f>
        <v>4.96</v>
      </c>
    </row>
    <row r="41" spans="1:7" x14ac:dyDescent="0.25">
      <c r="A41" s="14"/>
      <c r="B41" s="15"/>
      <c r="C41" s="14"/>
      <c r="D41" s="16"/>
      <c r="E41" s="17"/>
      <c r="F41" s="16"/>
      <c r="G41" s="17"/>
    </row>
    <row r="42" spans="1:7" x14ac:dyDescent="0.25">
      <c r="A42" s="391" t="s">
        <v>36</v>
      </c>
      <c r="B42" s="392"/>
      <c r="C42" s="392"/>
      <c r="D42" s="392"/>
      <c r="E42" s="392"/>
      <c r="F42" s="392"/>
      <c r="G42" s="200">
        <f>G37+G40</f>
        <v>28.6</v>
      </c>
    </row>
  </sheetData>
  <mergeCells count="16">
    <mergeCell ref="A26:G26"/>
    <mergeCell ref="A1:F1"/>
    <mergeCell ref="B2:D2"/>
    <mergeCell ref="F2:G2"/>
    <mergeCell ref="A8:G8"/>
    <mergeCell ref="A10:G10"/>
    <mergeCell ref="A13:F13"/>
    <mergeCell ref="A15:G15"/>
    <mergeCell ref="A24:F24"/>
    <mergeCell ref="A42:F42"/>
    <mergeCell ref="A29:F29"/>
    <mergeCell ref="A31:G31"/>
    <mergeCell ref="A35:F35"/>
    <mergeCell ref="A37:F37"/>
    <mergeCell ref="A39:G39"/>
    <mergeCell ref="A40:F40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20" sqref="L20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Presupuesto!B28</f>
        <v>21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Presupuesto!C28</f>
        <v>514314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Presupuesto!D28</f>
        <v>Tubería de agua potable PVC-r de 1/2"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Presupuesto!E28</f>
        <v>m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ROUND(0.05*G33,2)</f>
        <v>0.03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0.03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155</v>
      </c>
      <c r="B17" s="213" t="s">
        <v>156</v>
      </c>
      <c r="C17" s="201" t="s">
        <v>50</v>
      </c>
      <c r="D17" s="203">
        <v>1</v>
      </c>
      <c r="E17" s="204">
        <v>2</v>
      </c>
      <c r="F17" s="230"/>
      <c r="G17" s="204">
        <f>ROUND(D17*E17,2)</f>
        <v>2</v>
      </c>
    </row>
    <row r="18" spans="1:7" x14ac:dyDescent="0.25">
      <c r="A18" s="205" t="s">
        <v>157</v>
      </c>
      <c r="B18" s="214" t="s">
        <v>158</v>
      </c>
      <c r="C18" s="205" t="s">
        <v>48</v>
      </c>
      <c r="D18" s="207">
        <v>0.33</v>
      </c>
      <c r="E18" s="208">
        <v>0.45</v>
      </c>
      <c r="F18" s="231"/>
      <c r="G18" s="204">
        <f t="shared" ref="G18:G21" si="0">ROUND(D18*E18,2)</f>
        <v>0.15</v>
      </c>
    </row>
    <row r="19" spans="1:7" x14ac:dyDescent="0.25">
      <c r="A19" s="205" t="s">
        <v>163</v>
      </c>
      <c r="B19" s="214" t="s">
        <v>164</v>
      </c>
      <c r="C19" s="205" t="s">
        <v>48</v>
      </c>
      <c r="D19" s="207">
        <v>0.08</v>
      </c>
      <c r="E19" s="208">
        <v>1.2</v>
      </c>
      <c r="F19" s="231"/>
      <c r="G19" s="208">
        <f t="shared" si="0"/>
        <v>0.1</v>
      </c>
    </row>
    <row r="20" spans="1:7" x14ac:dyDescent="0.25">
      <c r="A20" s="205" t="s">
        <v>149</v>
      </c>
      <c r="B20" s="214" t="s">
        <v>150</v>
      </c>
      <c r="C20" s="205" t="s">
        <v>48</v>
      </c>
      <c r="D20" s="207">
        <v>0.1</v>
      </c>
      <c r="E20" s="208">
        <v>0.3</v>
      </c>
      <c r="F20" s="231"/>
      <c r="G20" s="208">
        <f t="shared" si="0"/>
        <v>0.03</v>
      </c>
    </row>
    <row r="21" spans="1:7" x14ac:dyDescent="0.25">
      <c r="A21" s="209" t="s">
        <v>161</v>
      </c>
      <c r="B21" s="216" t="s">
        <v>162</v>
      </c>
      <c r="C21" s="209" t="s">
        <v>48</v>
      </c>
      <c r="D21" s="211">
        <v>0.02</v>
      </c>
      <c r="E21" s="212">
        <v>9</v>
      </c>
      <c r="F21" s="232"/>
      <c r="G21" s="212">
        <f t="shared" si="0"/>
        <v>0.18</v>
      </c>
    </row>
    <row r="22" spans="1:7" x14ac:dyDescent="0.25">
      <c r="A22" s="398" t="s">
        <v>25</v>
      </c>
      <c r="B22" s="398"/>
      <c r="C22" s="398"/>
      <c r="D22" s="398"/>
      <c r="E22" s="398"/>
      <c r="F22" s="398"/>
      <c r="G22" s="24">
        <f>SUM(G17:G21)</f>
        <v>2.46</v>
      </c>
    </row>
    <row r="23" spans="1:7" x14ac:dyDescent="0.25">
      <c r="A23" s="14"/>
      <c r="B23" s="15"/>
      <c r="C23" s="14"/>
      <c r="D23" s="16"/>
      <c r="E23" s="17"/>
      <c r="F23" s="16"/>
      <c r="G23" s="17"/>
    </row>
    <row r="24" spans="1:7" x14ac:dyDescent="0.25">
      <c r="A24" s="395" t="s">
        <v>26</v>
      </c>
      <c r="B24" s="396"/>
      <c r="C24" s="396"/>
      <c r="D24" s="396"/>
      <c r="E24" s="396"/>
      <c r="F24" s="396"/>
      <c r="G24" s="397"/>
    </row>
    <row r="25" spans="1:7" x14ac:dyDescent="0.25">
      <c r="A25" s="27" t="s">
        <v>18</v>
      </c>
      <c r="B25" s="27" t="s">
        <v>19</v>
      </c>
      <c r="C25" s="27" t="s">
        <v>3</v>
      </c>
      <c r="D25" s="27" t="s">
        <v>4</v>
      </c>
      <c r="E25" s="27" t="s">
        <v>27</v>
      </c>
      <c r="F25" s="27" t="s">
        <v>28</v>
      </c>
      <c r="G25" s="27" t="s">
        <v>22</v>
      </c>
    </row>
    <row r="26" spans="1:7" x14ac:dyDescent="0.25">
      <c r="A26" s="22"/>
      <c r="B26" s="25"/>
      <c r="C26" s="22"/>
      <c r="D26" s="23"/>
      <c r="E26" s="24"/>
      <c r="F26" s="26"/>
      <c r="G26" s="21"/>
    </row>
    <row r="27" spans="1:7" x14ac:dyDescent="0.25">
      <c r="A27" s="393" t="s">
        <v>29</v>
      </c>
      <c r="B27" s="394"/>
      <c r="C27" s="394"/>
      <c r="D27" s="394"/>
      <c r="E27" s="394"/>
      <c r="F27" s="394"/>
      <c r="G27" s="24">
        <v>0</v>
      </c>
    </row>
    <row r="28" spans="1:7" x14ac:dyDescent="0.25">
      <c r="A28" s="14"/>
      <c r="B28" s="15"/>
      <c r="C28" s="14"/>
      <c r="D28" s="16"/>
      <c r="E28" s="17"/>
      <c r="F28" s="16"/>
      <c r="G28" s="17"/>
    </row>
    <row r="29" spans="1:7" x14ac:dyDescent="0.25">
      <c r="A29" s="395" t="s">
        <v>30</v>
      </c>
      <c r="B29" s="396"/>
      <c r="C29" s="396"/>
      <c r="D29" s="396"/>
      <c r="E29" s="396"/>
      <c r="F29" s="396"/>
      <c r="G29" s="397"/>
    </row>
    <row r="30" spans="1:7" x14ac:dyDescent="0.25">
      <c r="A30" s="27" t="s">
        <v>18</v>
      </c>
      <c r="B30" s="27" t="s">
        <v>19</v>
      </c>
      <c r="C30" s="27"/>
      <c r="D30" s="27" t="s">
        <v>31</v>
      </c>
      <c r="E30" s="27" t="s">
        <v>32</v>
      </c>
      <c r="F30" s="27" t="s">
        <v>21</v>
      </c>
      <c r="G30" s="27" t="s">
        <v>22</v>
      </c>
    </row>
    <row r="31" spans="1:7" x14ac:dyDescent="0.25">
      <c r="A31" s="201" t="s">
        <v>74</v>
      </c>
      <c r="B31" s="213" t="s">
        <v>75</v>
      </c>
      <c r="C31" s="190"/>
      <c r="D31" s="203">
        <v>1</v>
      </c>
      <c r="E31" s="204">
        <v>3.41</v>
      </c>
      <c r="F31" s="203">
        <v>0.1</v>
      </c>
      <c r="G31" s="204">
        <f>ROUND(D31*E31*F31,2)</f>
        <v>0.34</v>
      </c>
    </row>
    <row r="32" spans="1:7" x14ac:dyDescent="0.25">
      <c r="A32" s="209" t="s">
        <v>76</v>
      </c>
      <c r="B32" s="216" t="s">
        <v>77</v>
      </c>
      <c r="C32" s="217"/>
      <c r="D32" s="211">
        <v>1</v>
      </c>
      <c r="E32" s="212">
        <v>3.45</v>
      </c>
      <c r="F32" s="211">
        <v>0.1</v>
      </c>
      <c r="G32" s="212">
        <f>ROUND(D32*E32*F32,2)</f>
        <v>0.35</v>
      </c>
    </row>
    <row r="33" spans="1:7" x14ac:dyDescent="0.25">
      <c r="A33" s="398" t="s">
        <v>33</v>
      </c>
      <c r="B33" s="398"/>
      <c r="C33" s="398"/>
      <c r="D33" s="398"/>
      <c r="E33" s="398"/>
      <c r="F33" s="398"/>
      <c r="G33" s="24">
        <f>SUM(G31:G32)</f>
        <v>0.69</v>
      </c>
    </row>
    <row r="34" spans="1:7" x14ac:dyDescent="0.25">
      <c r="A34" s="14"/>
      <c r="B34" s="15"/>
      <c r="C34" s="14"/>
      <c r="D34" s="16"/>
      <c r="E34" s="17"/>
      <c r="F34" s="16"/>
      <c r="G34" s="17"/>
    </row>
    <row r="35" spans="1:7" x14ac:dyDescent="0.25">
      <c r="A35" s="399" t="s">
        <v>34</v>
      </c>
      <c r="B35" s="400"/>
      <c r="C35" s="400"/>
      <c r="D35" s="400"/>
      <c r="E35" s="400"/>
      <c r="F35" s="400"/>
      <c r="G35" s="5">
        <f>+G33+G27+G22+G13</f>
        <v>3.1799999999999997</v>
      </c>
    </row>
    <row r="36" spans="1:7" x14ac:dyDescent="0.25">
      <c r="A36" s="28"/>
      <c r="B36" s="29"/>
      <c r="C36" s="29"/>
      <c r="D36" s="29"/>
      <c r="E36" s="29"/>
      <c r="F36" s="29"/>
      <c r="G36" s="5"/>
    </row>
    <row r="37" spans="1:7" x14ac:dyDescent="0.25">
      <c r="A37" s="401" t="s">
        <v>35</v>
      </c>
      <c r="B37" s="402"/>
      <c r="C37" s="402"/>
      <c r="D37" s="402"/>
      <c r="E37" s="402"/>
      <c r="F37" s="402"/>
      <c r="G37" s="403"/>
    </row>
    <row r="38" spans="1:7" x14ac:dyDescent="0.25">
      <c r="A38" s="399" t="s">
        <v>78</v>
      </c>
      <c r="B38" s="400"/>
      <c r="C38" s="400"/>
      <c r="D38" s="400"/>
      <c r="E38" s="400"/>
      <c r="F38" s="400"/>
      <c r="G38" s="5">
        <f>ROUND(0.21*G35,2)</f>
        <v>0.67</v>
      </c>
    </row>
    <row r="39" spans="1:7" x14ac:dyDescent="0.25">
      <c r="A39" s="14"/>
      <c r="B39" s="15"/>
      <c r="C39" s="14"/>
      <c r="D39" s="16"/>
      <c r="E39" s="17"/>
      <c r="F39" s="16"/>
      <c r="G39" s="17"/>
    </row>
    <row r="40" spans="1:7" x14ac:dyDescent="0.25">
      <c r="A40" s="391" t="s">
        <v>36</v>
      </c>
      <c r="B40" s="392"/>
      <c r="C40" s="392"/>
      <c r="D40" s="392"/>
      <c r="E40" s="392"/>
      <c r="F40" s="392"/>
      <c r="G40" s="200">
        <f>G35+G38</f>
        <v>3.8499999999999996</v>
      </c>
    </row>
  </sheetData>
  <mergeCells count="19">
    <mergeCell ref="A24:G24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2:F22"/>
    <mergeCell ref="A40:F40"/>
    <mergeCell ref="A27:F27"/>
    <mergeCell ref="A29:G29"/>
    <mergeCell ref="A33:F33"/>
    <mergeCell ref="A35:F35"/>
    <mergeCell ref="A37:G37"/>
    <mergeCell ref="A38:F38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7" workbookViewId="0">
      <selection activeCell="L27" sqref="L27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Presupuesto!B29</f>
        <v>22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Presupuesto!C29</f>
        <v>514315M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Presupuesto!D29</f>
        <v>Tubería de agua potable PVC-r de 1"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Presupuesto!E29</f>
        <v>m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ROUND(0.05*G33,2)</f>
        <v>0.04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0.04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165</v>
      </c>
      <c r="B17" s="213" t="s">
        <v>166</v>
      </c>
      <c r="C17" s="201" t="s">
        <v>50</v>
      </c>
      <c r="D17" s="203">
        <v>1</v>
      </c>
      <c r="E17" s="204">
        <v>4</v>
      </c>
      <c r="F17" s="230"/>
      <c r="G17" s="204">
        <f>ROUND(D17*E17,2)</f>
        <v>4</v>
      </c>
    </row>
    <row r="18" spans="1:7" x14ac:dyDescent="0.25">
      <c r="A18" s="205" t="s">
        <v>167</v>
      </c>
      <c r="B18" s="214" t="s">
        <v>168</v>
      </c>
      <c r="C18" s="205" t="s">
        <v>48</v>
      </c>
      <c r="D18" s="207">
        <v>0.33</v>
      </c>
      <c r="E18" s="208">
        <v>0.85</v>
      </c>
      <c r="F18" s="231"/>
      <c r="G18" s="208">
        <f t="shared" ref="G18:G21" si="0">ROUND(D18*E18,2)</f>
        <v>0.28000000000000003</v>
      </c>
    </row>
    <row r="19" spans="1:7" x14ac:dyDescent="0.25">
      <c r="A19" s="205" t="s">
        <v>153</v>
      </c>
      <c r="B19" s="214" t="s">
        <v>154</v>
      </c>
      <c r="C19" s="205" t="s">
        <v>48</v>
      </c>
      <c r="D19" s="207">
        <v>2</v>
      </c>
      <c r="E19" s="208">
        <v>2.54</v>
      </c>
      <c r="F19" s="231"/>
      <c r="G19" s="208">
        <f t="shared" si="0"/>
        <v>5.08</v>
      </c>
    </row>
    <row r="20" spans="1:7" x14ac:dyDescent="0.25">
      <c r="A20" s="205" t="s">
        <v>149</v>
      </c>
      <c r="B20" s="214" t="s">
        <v>150</v>
      </c>
      <c r="C20" s="205" t="s">
        <v>48</v>
      </c>
      <c r="D20" s="207">
        <v>0.15</v>
      </c>
      <c r="E20" s="208">
        <v>0.3</v>
      </c>
      <c r="F20" s="231"/>
      <c r="G20" s="208">
        <f t="shared" si="0"/>
        <v>0.05</v>
      </c>
    </row>
    <row r="21" spans="1:7" x14ac:dyDescent="0.25">
      <c r="A21" s="209" t="s">
        <v>161</v>
      </c>
      <c r="B21" s="216" t="s">
        <v>162</v>
      </c>
      <c r="C21" s="209" t="s">
        <v>48</v>
      </c>
      <c r="D21" s="211">
        <v>0.03</v>
      </c>
      <c r="E21" s="212">
        <v>9</v>
      </c>
      <c r="F21" s="232"/>
      <c r="G21" s="212">
        <f t="shared" si="0"/>
        <v>0.27</v>
      </c>
    </row>
    <row r="22" spans="1:7" x14ac:dyDescent="0.25">
      <c r="A22" s="398" t="s">
        <v>25</v>
      </c>
      <c r="B22" s="398"/>
      <c r="C22" s="398"/>
      <c r="D22" s="398"/>
      <c r="E22" s="398"/>
      <c r="F22" s="398"/>
      <c r="G22" s="24">
        <f>SUM(G17:G21)</f>
        <v>9.68</v>
      </c>
    </row>
    <row r="23" spans="1:7" x14ac:dyDescent="0.25">
      <c r="A23" s="14"/>
      <c r="B23" s="15"/>
      <c r="C23" s="14"/>
      <c r="D23" s="16"/>
      <c r="E23" s="17"/>
      <c r="F23" s="16"/>
      <c r="G23" s="17"/>
    </row>
    <row r="24" spans="1:7" x14ac:dyDescent="0.25">
      <c r="A24" s="395" t="s">
        <v>26</v>
      </c>
      <c r="B24" s="396"/>
      <c r="C24" s="396"/>
      <c r="D24" s="396"/>
      <c r="E24" s="396"/>
      <c r="F24" s="396"/>
      <c r="G24" s="397"/>
    </row>
    <row r="25" spans="1:7" x14ac:dyDescent="0.25">
      <c r="A25" s="27" t="s">
        <v>18</v>
      </c>
      <c r="B25" s="27" t="s">
        <v>19</v>
      </c>
      <c r="C25" s="27" t="s">
        <v>3</v>
      </c>
      <c r="D25" s="27" t="s">
        <v>4</v>
      </c>
      <c r="E25" s="27" t="s">
        <v>27</v>
      </c>
      <c r="F25" s="27" t="s">
        <v>28</v>
      </c>
      <c r="G25" s="27" t="s">
        <v>22</v>
      </c>
    </row>
    <row r="26" spans="1:7" x14ac:dyDescent="0.25">
      <c r="A26" s="22"/>
      <c r="B26" s="25"/>
      <c r="C26" s="22"/>
      <c r="D26" s="23"/>
      <c r="E26" s="24"/>
      <c r="F26" s="26"/>
      <c r="G26" s="21"/>
    </row>
    <row r="27" spans="1:7" x14ac:dyDescent="0.25">
      <c r="A27" s="393" t="s">
        <v>29</v>
      </c>
      <c r="B27" s="394"/>
      <c r="C27" s="394"/>
      <c r="D27" s="394"/>
      <c r="E27" s="394"/>
      <c r="F27" s="394"/>
      <c r="G27" s="24">
        <v>0</v>
      </c>
    </row>
    <row r="28" spans="1:7" x14ac:dyDescent="0.25">
      <c r="A28" s="14"/>
      <c r="B28" s="15"/>
      <c r="C28" s="14"/>
      <c r="D28" s="16"/>
      <c r="E28" s="17"/>
      <c r="F28" s="16"/>
      <c r="G28" s="17"/>
    </row>
    <row r="29" spans="1:7" x14ac:dyDescent="0.25">
      <c r="A29" s="395" t="s">
        <v>30</v>
      </c>
      <c r="B29" s="396"/>
      <c r="C29" s="396"/>
      <c r="D29" s="396"/>
      <c r="E29" s="396"/>
      <c r="F29" s="396"/>
      <c r="G29" s="397"/>
    </row>
    <row r="30" spans="1:7" x14ac:dyDescent="0.25">
      <c r="A30" s="27" t="s">
        <v>18</v>
      </c>
      <c r="B30" s="27" t="s">
        <v>19</v>
      </c>
      <c r="C30" s="27"/>
      <c r="D30" s="27" t="s">
        <v>31</v>
      </c>
      <c r="E30" s="27" t="s">
        <v>32</v>
      </c>
      <c r="F30" s="27" t="s">
        <v>21</v>
      </c>
      <c r="G30" s="27" t="s">
        <v>22</v>
      </c>
    </row>
    <row r="31" spans="1:7" x14ac:dyDescent="0.25">
      <c r="A31" s="201" t="s">
        <v>74</v>
      </c>
      <c r="B31" s="213" t="s">
        <v>75</v>
      </c>
      <c r="C31" s="190"/>
      <c r="D31" s="203">
        <v>1</v>
      </c>
      <c r="E31" s="204">
        <v>3.41</v>
      </c>
      <c r="F31" s="203">
        <v>0.12</v>
      </c>
      <c r="G31" s="204">
        <f>ROUND(D31*E31*F31,2)</f>
        <v>0.41</v>
      </c>
    </row>
    <row r="32" spans="1:7" x14ac:dyDescent="0.25">
      <c r="A32" s="209" t="s">
        <v>76</v>
      </c>
      <c r="B32" s="216" t="s">
        <v>77</v>
      </c>
      <c r="C32" s="217"/>
      <c r="D32" s="211">
        <v>1</v>
      </c>
      <c r="E32" s="212">
        <v>3.45</v>
      </c>
      <c r="F32" s="211">
        <v>0.12</v>
      </c>
      <c r="G32" s="212">
        <f>ROUND(D32*E32*F32,2)</f>
        <v>0.41</v>
      </c>
    </row>
    <row r="33" spans="1:7" x14ac:dyDescent="0.25">
      <c r="A33" s="398" t="s">
        <v>33</v>
      </c>
      <c r="B33" s="398"/>
      <c r="C33" s="398"/>
      <c r="D33" s="398"/>
      <c r="E33" s="398"/>
      <c r="F33" s="398"/>
      <c r="G33" s="24">
        <f>SUM(G31:G32)</f>
        <v>0.82</v>
      </c>
    </row>
    <row r="34" spans="1:7" x14ac:dyDescent="0.25">
      <c r="A34" s="14"/>
      <c r="B34" s="15"/>
      <c r="C34" s="14"/>
      <c r="D34" s="16"/>
      <c r="E34" s="17"/>
      <c r="F34" s="16"/>
      <c r="G34" s="17"/>
    </row>
    <row r="35" spans="1:7" x14ac:dyDescent="0.25">
      <c r="A35" s="399" t="s">
        <v>34</v>
      </c>
      <c r="B35" s="400"/>
      <c r="C35" s="400"/>
      <c r="D35" s="400"/>
      <c r="E35" s="400"/>
      <c r="F35" s="400"/>
      <c r="G35" s="5">
        <f>G33+G27+G22+G13</f>
        <v>10.54</v>
      </c>
    </row>
    <row r="36" spans="1:7" x14ac:dyDescent="0.25">
      <c r="A36" s="28"/>
      <c r="B36" s="29"/>
      <c r="C36" s="29"/>
      <c r="D36" s="29"/>
      <c r="E36" s="29"/>
      <c r="F36" s="29"/>
      <c r="G36" s="5"/>
    </row>
    <row r="37" spans="1:7" x14ac:dyDescent="0.25">
      <c r="A37" s="401" t="s">
        <v>35</v>
      </c>
      <c r="B37" s="402"/>
      <c r="C37" s="402"/>
      <c r="D37" s="402"/>
      <c r="E37" s="402"/>
      <c r="F37" s="402"/>
      <c r="G37" s="403"/>
    </row>
    <row r="38" spans="1:7" x14ac:dyDescent="0.25">
      <c r="A38" s="399" t="s">
        <v>78</v>
      </c>
      <c r="B38" s="400"/>
      <c r="C38" s="400"/>
      <c r="D38" s="400"/>
      <c r="E38" s="400"/>
      <c r="F38" s="400"/>
      <c r="G38" s="5">
        <f>ROUND(0.21*G35,2)</f>
        <v>2.21</v>
      </c>
    </row>
    <row r="39" spans="1:7" x14ac:dyDescent="0.25">
      <c r="A39" s="14"/>
      <c r="B39" s="15"/>
      <c r="C39" s="14"/>
      <c r="D39" s="16"/>
      <c r="E39" s="17"/>
      <c r="F39" s="16"/>
      <c r="G39" s="17"/>
    </row>
    <row r="40" spans="1:7" x14ac:dyDescent="0.25">
      <c r="A40" s="391" t="s">
        <v>36</v>
      </c>
      <c r="B40" s="392"/>
      <c r="C40" s="392"/>
      <c r="D40" s="392"/>
      <c r="E40" s="392"/>
      <c r="F40" s="392"/>
      <c r="G40" s="200">
        <f>+G35+G38</f>
        <v>12.75</v>
      </c>
    </row>
  </sheetData>
  <mergeCells count="19">
    <mergeCell ref="A24:G24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2:F22"/>
    <mergeCell ref="A40:F40"/>
    <mergeCell ref="A27:F27"/>
    <mergeCell ref="A29:G29"/>
    <mergeCell ref="A33:F33"/>
    <mergeCell ref="A35:F35"/>
    <mergeCell ref="A37:G37"/>
    <mergeCell ref="A38:F38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M20" sqref="M20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Presupuesto!B30</f>
        <v>23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Presupuesto!C30</f>
        <v>514303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Presupuesto!D30</f>
        <v>Punto de desague en P.V.C  D=50 mm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Presupuesto!E30</f>
        <v>u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ROUND(0.05*G34,2)</f>
        <v>0.27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0.27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142</v>
      </c>
      <c r="B17" s="213" t="s">
        <v>143</v>
      </c>
      <c r="C17" s="201" t="s">
        <v>129</v>
      </c>
      <c r="D17" s="203">
        <v>3</v>
      </c>
      <c r="E17" s="204">
        <v>1.75</v>
      </c>
      <c r="F17" s="230"/>
      <c r="G17" s="204">
        <f>ROUND(D17*E17,2)</f>
        <v>5.25</v>
      </c>
    </row>
    <row r="18" spans="1:7" x14ac:dyDescent="0.25">
      <c r="A18" s="205" t="s">
        <v>169</v>
      </c>
      <c r="B18" s="214" t="s">
        <v>170</v>
      </c>
      <c r="C18" s="205" t="s">
        <v>48</v>
      </c>
      <c r="D18" s="207">
        <v>2</v>
      </c>
      <c r="E18" s="208">
        <v>1.1499999999999999</v>
      </c>
      <c r="F18" s="231"/>
      <c r="G18" s="208">
        <f t="shared" ref="G18:G22" si="0">ROUND(D18*E18,2)</f>
        <v>2.2999999999999998</v>
      </c>
    </row>
    <row r="19" spans="1:7" x14ac:dyDescent="0.25">
      <c r="A19" s="205" t="s">
        <v>171</v>
      </c>
      <c r="B19" s="214" t="s">
        <v>172</v>
      </c>
      <c r="C19" s="205" t="s">
        <v>48</v>
      </c>
      <c r="D19" s="207">
        <v>1</v>
      </c>
      <c r="E19" s="208">
        <v>2.2999999999999998</v>
      </c>
      <c r="F19" s="231"/>
      <c r="G19" s="208">
        <f t="shared" si="0"/>
        <v>2.2999999999999998</v>
      </c>
    </row>
    <row r="20" spans="1:7" x14ac:dyDescent="0.25">
      <c r="A20" s="205" t="s">
        <v>136</v>
      </c>
      <c r="B20" s="214" t="s">
        <v>137</v>
      </c>
      <c r="C20" s="205" t="s">
        <v>121</v>
      </c>
      <c r="D20" s="207">
        <v>0.02</v>
      </c>
      <c r="E20" s="208">
        <v>13.58</v>
      </c>
      <c r="F20" s="231"/>
      <c r="G20" s="208">
        <f t="shared" si="0"/>
        <v>0.27</v>
      </c>
    </row>
    <row r="21" spans="1:7" x14ac:dyDescent="0.25">
      <c r="A21" s="205" t="s">
        <v>138</v>
      </c>
      <c r="B21" s="214" t="s">
        <v>139</v>
      </c>
      <c r="C21" s="205" t="s">
        <v>121</v>
      </c>
      <c r="D21" s="207">
        <v>0.02</v>
      </c>
      <c r="E21" s="208">
        <v>8.23</v>
      </c>
      <c r="F21" s="231"/>
      <c r="G21" s="208">
        <f t="shared" si="0"/>
        <v>0.16</v>
      </c>
    </row>
    <row r="22" spans="1:7" x14ac:dyDescent="0.25">
      <c r="A22" s="209" t="s">
        <v>173</v>
      </c>
      <c r="B22" s="216" t="s">
        <v>174</v>
      </c>
      <c r="C22" s="209" t="s">
        <v>48</v>
      </c>
      <c r="D22" s="211">
        <v>1</v>
      </c>
      <c r="E22" s="212">
        <v>3.63</v>
      </c>
      <c r="F22" s="232"/>
      <c r="G22" s="212">
        <f t="shared" si="0"/>
        <v>3.63</v>
      </c>
    </row>
    <row r="23" spans="1:7" x14ac:dyDescent="0.25">
      <c r="A23" s="398" t="s">
        <v>25</v>
      </c>
      <c r="B23" s="398"/>
      <c r="C23" s="398"/>
      <c r="D23" s="398"/>
      <c r="E23" s="398"/>
      <c r="F23" s="398"/>
      <c r="G23" s="24">
        <f>SUM(G17:G22)</f>
        <v>13.91</v>
      </c>
    </row>
    <row r="24" spans="1:7" x14ac:dyDescent="0.25">
      <c r="A24" s="14"/>
      <c r="B24" s="15"/>
      <c r="C24" s="14"/>
      <c r="D24" s="16"/>
      <c r="E24" s="17"/>
      <c r="F24" s="16"/>
      <c r="G24" s="17"/>
    </row>
    <row r="25" spans="1:7" x14ac:dyDescent="0.25">
      <c r="A25" s="395" t="s">
        <v>26</v>
      </c>
      <c r="B25" s="396"/>
      <c r="C25" s="396"/>
      <c r="D25" s="396"/>
      <c r="E25" s="396"/>
      <c r="F25" s="396"/>
      <c r="G25" s="397"/>
    </row>
    <row r="26" spans="1:7" x14ac:dyDescent="0.25">
      <c r="A26" s="27" t="s">
        <v>18</v>
      </c>
      <c r="B26" s="27" t="s">
        <v>19</v>
      </c>
      <c r="C26" s="27" t="s">
        <v>3</v>
      </c>
      <c r="D26" s="27" t="s">
        <v>4</v>
      </c>
      <c r="E26" s="27" t="s">
        <v>27</v>
      </c>
      <c r="F26" s="27" t="s">
        <v>28</v>
      </c>
      <c r="G26" s="27" t="s">
        <v>22</v>
      </c>
    </row>
    <row r="27" spans="1:7" x14ac:dyDescent="0.25">
      <c r="A27" s="22"/>
      <c r="B27" s="25"/>
      <c r="C27" s="22"/>
      <c r="D27" s="23"/>
      <c r="E27" s="24"/>
      <c r="F27" s="26"/>
      <c r="G27" s="21"/>
    </row>
    <row r="28" spans="1:7" x14ac:dyDescent="0.25">
      <c r="A28" s="393" t="s">
        <v>29</v>
      </c>
      <c r="B28" s="394"/>
      <c r="C28" s="394"/>
      <c r="D28" s="394"/>
      <c r="E28" s="394"/>
      <c r="F28" s="394"/>
      <c r="G28" s="24">
        <v>0</v>
      </c>
    </row>
    <row r="29" spans="1:7" x14ac:dyDescent="0.25">
      <c r="A29" s="14"/>
      <c r="B29" s="15"/>
      <c r="C29" s="14"/>
      <c r="D29" s="16"/>
      <c r="E29" s="17"/>
      <c r="F29" s="16"/>
      <c r="G29" s="17"/>
    </row>
    <row r="30" spans="1:7" x14ac:dyDescent="0.25">
      <c r="A30" s="395" t="s">
        <v>30</v>
      </c>
      <c r="B30" s="396"/>
      <c r="C30" s="396"/>
      <c r="D30" s="396"/>
      <c r="E30" s="396"/>
      <c r="F30" s="396"/>
      <c r="G30" s="397"/>
    </row>
    <row r="31" spans="1:7" x14ac:dyDescent="0.25">
      <c r="A31" s="27" t="s">
        <v>18</v>
      </c>
      <c r="B31" s="27" t="s">
        <v>19</v>
      </c>
      <c r="C31" s="27"/>
      <c r="D31" s="27" t="s">
        <v>31</v>
      </c>
      <c r="E31" s="27" t="s">
        <v>32</v>
      </c>
      <c r="F31" s="27" t="s">
        <v>21</v>
      </c>
      <c r="G31" s="27" t="s">
        <v>22</v>
      </c>
    </row>
    <row r="32" spans="1:7" x14ac:dyDescent="0.25">
      <c r="A32" s="201" t="s">
        <v>74</v>
      </c>
      <c r="B32" s="213" t="s">
        <v>75</v>
      </c>
      <c r="C32" s="190"/>
      <c r="D32" s="203">
        <v>1</v>
      </c>
      <c r="E32" s="204">
        <v>3.41</v>
      </c>
      <c r="F32" s="203">
        <v>0.8</v>
      </c>
      <c r="G32" s="204">
        <f>ROUND(D32*E32*F32,2)</f>
        <v>2.73</v>
      </c>
    </row>
    <row r="33" spans="1:7" x14ac:dyDescent="0.25">
      <c r="A33" s="209" t="s">
        <v>76</v>
      </c>
      <c r="B33" s="216" t="s">
        <v>77</v>
      </c>
      <c r="C33" s="217"/>
      <c r="D33" s="211">
        <v>1</v>
      </c>
      <c r="E33" s="212">
        <v>3.45</v>
      </c>
      <c r="F33" s="211">
        <v>0.8</v>
      </c>
      <c r="G33" s="212">
        <f>ROUND(D33*E33*F33,2)</f>
        <v>2.76</v>
      </c>
    </row>
    <row r="34" spans="1:7" x14ac:dyDescent="0.25">
      <c r="A34" s="398" t="s">
        <v>33</v>
      </c>
      <c r="B34" s="398"/>
      <c r="C34" s="398"/>
      <c r="D34" s="398"/>
      <c r="E34" s="398"/>
      <c r="F34" s="398"/>
      <c r="G34" s="24">
        <f>SUM(G32:G33)</f>
        <v>5.49</v>
      </c>
    </row>
    <row r="35" spans="1:7" x14ac:dyDescent="0.25">
      <c r="A35" s="14"/>
      <c r="B35" s="15"/>
      <c r="C35" s="14"/>
      <c r="D35" s="16"/>
      <c r="E35" s="17"/>
      <c r="F35" s="16"/>
      <c r="G35" s="17"/>
    </row>
    <row r="36" spans="1:7" x14ac:dyDescent="0.25">
      <c r="A36" s="399" t="s">
        <v>34</v>
      </c>
      <c r="B36" s="400"/>
      <c r="C36" s="400"/>
      <c r="D36" s="400"/>
      <c r="E36" s="400"/>
      <c r="F36" s="400"/>
      <c r="G36" s="5">
        <f>+G34+G28+G23+G13</f>
        <v>19.669999999999998</v>
      </c>
    </row>
    <row r="37" spans="1:7" x14ac:dyDescent="0.25">
      <c r="A37" s="28"/>
      <c r="B37" s="29"/>
      <c r="C37" s="29"/>
      <c r="D37" s="29"/>
      <c r="E37" s="29"/>
      <c r="F37" s="29"/>
      <c r="G37" s="5"/>
    </row>
    <row r="38" spans="1:7" x14ac:dyDescent="0.25">
      <c r="A38" s="401" t="s">
        <v>35</v>
      </c>
      <c r="B38" s="402"/>
      <c r="C38" s="402"/>
      <c r="D38" s="402"/>
      <c r="E38" s="402"/>
      <c r="F38" s="402"/>
      <c r="G38" s="403"/>
    </row>
    <row r="39" spans="1:7" x14ac:dyDescent="0.25">
      <c r="A39" s="399" t="s">
        <v>78</v>
      </c>
      <c r="B39" s="400"/>
      <c r="C39" s="400"/>
      <c r="D39" s="400"/>
      <c r="E39" s="400"/>
      <c r="F39" s="400"/>
      <c r="G39" s="5">
        <f>ROUND(0.21*G36,2)</f>
        <v>4.13</v>
      </c>
    </row>
    <row r="40" spans="1:7" x14ac:dyDescent="0.25">
      <c r="A40" s="14"/>
      <c r="B40" s="15"/>
      <c r="C40" s="14"/>
      <c r="D40" s="16"/>
      <c r="E40" s="17"/>
      <c r="F40" s="16"/>
      <c r="G40" s="17"/>
    </row>
    <row r="41" spans="1:7" x14ac:dyDescent="0.25">
      <c r="A41" s="391" t="s">
        <v>36</v>
      </c>
      <c r="B41" s="392"/>
      <c r="C41" s="392"/>
      <c r="D41" s="392"/>
      <c r="E41" s="392"/>
      <c r="F41" s="392"/>
      <c r="G41" s="200">
        <f>G36+G39</f>
        <v>23.799999999999997</v>
      </c>
    </row>
  </sheetData>
  <mergeCells count="19">
    <mergeCell ref="A25:G25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3:F23"/>
    <mergeCell ref="A41:F41"/>
    <mergeCell ref="A28:F28"/>
    <mergeCell ref="A30:G30"/>
    <mergeCell ref="A34:F34"/>
    <mergeCell ref="A36:F36"/>
    <mergeCell ref="A38:G38"/>
    <mergeCell ref="A39:F39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I40" sqref="I40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Presupuesto!B31</f>
        <v>24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Presupuesto!C31</f>
        <v>500474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Presupuesto!D31</f>
        <v>Punto de Iluminación colgante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Presupuesto!E31</f>
        <v>u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ROUND(0.05*G36,2)</f>
        <v>0.54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0.54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175</v>
      </c>
      <c r="B17" s="213" t="s">
        <v>176</v>
      </c>
      <c r="C17" s="201" t="s">
        <v>129</v>
      </c>
      <c r="D17" s="203">
        <v>0.5</v>
      </c>
      <c r="E17" s="204">
        <v>0.39</v>
      </c>
      <c r="F17" s="230"/>
      <c r="G17" s="204">
        <f>ROUND(D17*E17,2)</f>
        <v>0.2</v>
      </c>
    </row>
    <row r="18" spans="1:7" x14ac:dyDescent="0.25">
      <c r="A18" s="205" t="s">
        <v>177</v>
      </c>
      <c r="B18" s="214" t="s">
        <v>178</v>
      </c>
      <c r="C18" s="205" t="s">
        <v>129</v>
      </c>
      <c r="D18" s="207">
        <v>7</v>
      </c>
      <c r="E18" s="208">
        <v>0.3</v>
      </c>
      <c r="F18" s="231"/>
      <c r="G18" s="208">
        <f t="shared" ref="G18:G24" si="0">ROUND(D18*E18,2)</f>
        <v>2.1</v>
      </c>
    </row>
    <row r="19" spans="1:7" x14ac:dyDescent="0.25">
      <c r="A19" s="205" t="s">
        <v>179</v>
      </c>
      <c r="B19" s="214" t="s">
        <v>180</v>
      </c>
      <c r="C19" s="205" t="s">
        <v>48</v>
      </c>
      <c r="D19" s="207">
        <v>1</v>
      </c>
      <c r="E19" s="208">
        <v>0.85</v>
      </c>
      <c r="F19" s="231"/>
      <c r="G19" s="208">
        <f t="shared" si="0"/>
        <v>0.85</v>
      </c>
    </row>
    <row r="20" spans="1:7" x14ac:dyDescent="0.25">
      <c r="A20" s="209" t="s">
        <v>181</v>
      </c>
      <c r="B20" s="216" t="s">
        <v>182</v>
      </c>
      <c r="C20" s="209" t="s">
        <v>48</v>
      </c>
      <c r="D20" s="211">
        <v>1</v>
      </c>
      <c r="E20" s="212">
        <v>0.9</v>
      </c>
      <c r="F20" s="232"/>
      <c r="G20" s="212">
        <f t="shared" si="0"/>
        <v>0.9</v>
      </c>
    </row>
    <row r="21" spans="1:7" x14ac:dyDescent="0.25">
      <c r="A21" s="19" t="s">
        <v>187</v>
      </c>
      <c r="B21" s="198" t="s">
        <v>469</v>
      </c>
      <c r="C21" s="19" t="s">
        <v>48</v>
      </c>
      <c r="D21" s="20">
        <v>1</v>
      </c>
      <c r="E21" s="21">
        <v>0.6</v>
      </c>
      <c r="F21" s="199"/>
      <c r="G21" s="21">
        <f t="shared" si="0"/>
        <v>0.6</v>
      </c>
    </row>
    <row r="22" spans="1:7" x14ac:dyDescent="0.25">
      <c r="A22" s="19" t="s">
        <v>471</v>
      </c>
      <c r="B22" s="198" t="s">
        <v>470</v>
      </c>
      <c r="C22" s="19" t="s">
        <v>48</v>
      </c>
      <c r="D22" s="20">
        <v>1</v>
      </c>
      <c r="E22" s="21">
        <v>0.89</v>
      </c>
      <c r="F22" s="199"/>
      <c r="G22" s="21">
        <f t="shared" si="0"/>
        <v>0.89</v>
      </c>
    </row>
    <row r="23" spans="1:7" x14ac:dyDescent="0.25">
      <c r="A23" s="19" t="s">
        <v>189</v>
      </c>
      <c r="B23" s="198" t="s">
        <v>190</v>
      </c>
      <c r="C23" s="19" t="s">
        <v>48</v>
      </c>
      <c r="D23" s="20">
        <v>0.2</v>
      </c>
      <c r="E23" s="21">
        <v>0.5</v>
      </c>
      <c r="F23" s="199"/>
      <c r="G23" s="21">
        <f t="shared" si="0"/>
        <v>0.1</v>
      </c>
    </row>
    <row r="24" spans="1:7" x14ac:dyDescent="0.25">
      <c r="A24" s="19" t="s">
        <v>473</v>
      </c>
      <c r="B24" s="198" t="s">
        <v>472</v>
      </c>
      <c r="C24" s="19" t="s">
        <v>48</v>
      </c>
      <c r="D24" s="20">
        <v>1</v>
      </c>
      <c r="E24" s="21">
        <v>1.1200000000000001</v>
      </c>
      <c r="F24" s="199"/>
      <c r="G24" s="21">
        <f t="shared" si="0"/>
        <v>1.1200000000000001</v>
      </c>
    </row>
    <row r="25" spans="1:7" x14ac:dyDescent="0.25">
      <c r="A25" s="398" t="s">
        <v>25</v>
      </c>
      <c r="B25" s="398"/>
      <c r="C25" s="398"/>
      <c r="D25" s="398"/>
      <c r="E25" s="398"/>
      <c r="F25" s="398"/>
      <c r="G25" s="24">
        <f>SUM(G17:G24)</f>
        <v>6.76</v>
      </c>
    </row>
    <row r="26" spans="1:7" x14ac:dyDescent="0.25">
      <c r="A26" s="14"/>
      <c r="B26" s="15"/>
      <c r="C26" s="14"/>
      <c r="D26" s="16"/>
      <c r="E26" s="17"/>
      <c r="F26" s="16"/>
      <c r="G26" s="17"/>
    </row>
    <row r="27" spans="1:7" x14ac:dyDescent="0.25">
      <c r="A27" s="395" t="s">
        <v>26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 t="s">
        <v>3</v>
      </c>
      <c r="D28" s="27" t="s">
        <v>4</v>
      </c>
      <c r="E28" s="27" t="s">
        <v>27</v>
      </c>
      <c r="F28" s="27" t="s">
        <v>28</v>
      </c>
      <c r="G28" s="27" t="s">
        <v>22</v>
      </c>
    </row>
    <row r="29" spans="1:7" x14ac:dyDescent="0.25">
      <c r="A29" s="22"/>
      <c r="B29" s="25"/>
      <c r="C29" s="22"/>
      <c r="D29" s="23"/>
      <c r="E29" s="24"/>
      <c r="F29" s="26"/>
      <c r="G29" s="21"/>
    </row>
    <row r="30" spans="1:7" x14ac:dyDescent="0.25">
      <c r="A30" s="393" t="s">
        <v>29</v>
      </c>
      <c r="B30" s="394"/>
      <c r="C30" s="394"/>
      <c r="D30" s="394"/>
      <c r="E30" s="394"/>
      <c r="F30" s="394"/>
      <c r="G30" s="24">
        <v>0</v>
      </c>
    </row>
    <row r="31" spans="1:7" x14ac:dyDescent="0.25">
      <c r="A31" s="14"/>
      <c r="B31" s="15"/>
      <c r="C31" s="14"/>
      <c r="D31" s="16"/>
      <c r="E31" s="17"/>
      <c r="F31" s="16"/>
      <c r="G31" s="17"/>
    </row>
    <row r="32" spans="1:7" x14ac:dyDescent="0.25">
      <c r="A32" s="395" t="s">
        <v>30</v>
      </c>
      <c r="B32" s="396"/>
      <c r="C32" s="396"/>
      <c r="D32" s="396"/>
      <c r="E32" s="396"/>
      <c r="F32" s="396"/>
      <c r="G32" s="397"/>
    </row>
    <row r="33" spans="1:7" x14ac:dyDescent="0.25">
      <c r="A33" s="27" t="s">
        <v>18</v>
      </c>
      <c r="B33" s="27" t="s">
        <v>19</v>
      </c>
      <c r="C33" s="27"/>
      <c r="D33" s="27" t="s">
        <v>31</v>
      </c>
      <c r="E33" s="27" t="s">
        <v>32</v>
      </c>
      <c r="F33" s="27" t="s">
        <v>21</v>
      </c>
      <c r="G33" s="27" t="s">
        <v>22</v>
      </c>
    </row>
    <row r="34" spans="1:7" x14ac:dyDescent="0.25">
      <c r="A34" s="19" t="s">
        <v>74</v>
      </c>
      <c r="B34" s="198" t="s">
        <v>75</v>
      </c>
      <c r="C34" s="188"/>
      <c r="D34" s="20">
        <v>1</v>
      </c>
      <c r="E34" s="21">
        <v>3.41</v>
      </c>
      <c r="F34" s="20">
        <v>1.5660000000000001</v>
      </c>
      <c r="G34" s="21">
        <f>ROUND(D34*E34*F34,2)</f>
        <v>5.34</v>
      </c>
    </row>
    <row r="35" spans="1:7" x14ac:dyDescent="0.25">
      <c r="A35" s="19" t="s">
        <v>76</v>
      </c>
      <c r="B35" s="198" t="s">
        <v>77</v>
      </c>
      <c r="C35" s="188"/>
      <c r="D35" s="20">
        <v>1</v>
      </c>
      <c r="E35" s="21">
        <v>3.45</v>
      </c>
      <c r="F35" s="20">
        <f>F34</f>
        <v>1.5660000000000001</v>
      </c>
      <c r="G35" s="21">
        <f>ROUND(D35*E35*F35,2)</f>
        <v>5.4</v>
      </c>
    </row>
    <row r="36" spans="1:7" x14ac:dyDescent="0.25">
      <c r="A36" s="398" t="s">
        <v>33</v>
      </c>
      <c r="B36" s="398"/>
      <c r="C36" s="398"/>
      <c r="D36" s="398"/>
      <c r="E36" s="398"/>
      <c r="F36" s="398"/>
      <c r="G36" s="24">
        <f>SUM(G34:G35)</f>
        <v>10.74</v>
      </c>
    </row>
    <row r="37" spans="1:7" x14ac:dyDescent="0.25">
      <c r="A37" s="14"/>
      <c r="B37" s="15"/>
      <c r="C37" s="14"/>
      <c r="D37" s="16"/>
      <c r="E37" s="17"/>
      <c r="F37" s="16"/>
      <c r="G37" s="17"/>
    </row>
    <row r="38" spans="1:7" x14ac:dyDescent="0.25">
      <c r="A38" s="399" t="s">
        <v>34</v>
      </c>
      <c r="B38" s="400"/>
      <c r="C38" s="400"/>
      <c r="D38" s="400"/>
      <c r="E38" s="400"/>
      <c r="F38" s="400"/>
      <c r="G38" s="5">
        <f>+G13+G25+G30+G36</f>
        <v>18.04</v>
      </c>
    </row>
    <row r="39" spans="1:7" x14ac:dyDescent="0.25">
      <c r="A39" s="28"/>
      <c r="B39" s="29"/>
      <c r="C39" s="29"/>
      <c r="D39" s="29"/>
      <c r="E39" s="29"/>
      <c r="F39" s="29"/>
      <c r="G39" s="5"/>
    </row>
    <row r="40" spans="1:7" x14ac:dyDescent="0.25">
      <c r="A40" s="401" t="s">
        <v>35</v>
      </c>
      <c r="B40" s="402"/>
      <c r="C40" s="402"/>
      <c r="D40" s="402"/>
      <c r="E40" s="402"/>
      <c r="F40" s="402"/>
      <c r="G40" s="403"/>
    </row>
    <row r="41" spans="1:7" x14ac:dyDescent="0.25">
      <c r="A41" s="399" t="s">
        <v>78</v>
      </c>
      <c r="B41" s="400"/>
      <c r="C41" s="400"/>
      <c r="D41" s="400"/>
      <c r="E41" s="400"/>
      <c r="F41" s="400"/>
      <c r="G41" s="5">
        <f>ROUND(0.21*G38,2)</f>
        <v>3.79</v>
      </c>
    </row>
    <row r="42" spans="1:7" x14ac:dyDescent="0.25">
      <c r="A42" s="14"/>
      <c r="B42" s="15"/>
      <c r="C42" s="14"/>
      <c r="D42" s="16"/>
      <c r="E42" s="17"/>
      <c r="F42" s="16"/>
      <c r="G42" s="17"/>
    </row>
    <row r="43" spans="1:7" x14ac:dyDescent="0.25">
      <c r="A43" s="391" t="s">
        <v>36</v>
      </c>
      <c r="B43" s="392"/>
      <c r="C43" s="392"/>
      <c r="D43" s="392"/>
      <c r="E43" s="392"/>
      <c r="F43" s="392"/>
      <c r="G43" s="200">
        <f>G38+G41</f>
        <v>21.83</v>
      </c>
    </row>
  </sheetData>
  <mergeCells count="19">
    <mergeCell ref="A27:G27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5:F25"/>
    <mergeCell ref="A43:F43"/>
    <mergeCell ref="A30:F30"/>
    <mergeCell ref="A32:G32"/>
    <mergeCell ref="A36:F36"/>
    <mergeCell ref="A38:F38"/>
    <mergeCell ref="A40:G40"/>
    <mergeCell ref="A41:F41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N24" sqref="N24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Presupuesto!B32</f>
        <v>25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Presupuesto!C32</f>
        <v>515268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Presupuesto!D32</f>
        <v>Punto de tomacorrientes dobles (empotrados)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Presupuesto!E32</f>
        <v>u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ROUND(0.05*G36,2)</f>
        <v>0.33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0.33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175</v>
      </c>
      <c r="B17" s="213" t="s">
        <v>176</v>
      </c>
      <c r="C17" s="201" t="s">
        <v>129</v>
      </c>
      <c r="D17" s="203">
        <v>0.5</v>
      </c>
      <c r="E17" s="204">
        <v>0.39</v>
      </c>
      <c r="F17" s="230"/>
      <c r="G17" s="204">
        <f>ROUND(D17*E17,2)</f>
        <v>0.2</v>
      </c>
    </row>
    <row r="18" spans="1:7" x14ac:dyDescent="0.25">
      <c r="A18" s="205" t="s">
        <v>177</v>
      </c>
      <c r="B18" s="214" t="s">
        <v>178</v>
      </c>
      <c r="C18" s="205" t="s">
        <v>129</v>
      </c>
      <c r="D18" s="207">
        <v>6</v>
      </c>
      <c r="E18" s="208">
        <v>0.3</v>
      </c>
      <c r="F18" s="231"/>
      <c r="G18" s="208">
        <f t="shared" ref="G18:G24" si="0">ROUND(D18*E18,2)</f>
        <v>1.8</v>
      </c>
    </row>
    <row r="19" spans="1:7" x14ac:dyDescent="0.25">
      <c r="A19" s="205" t="s">
        <v>183</v>
      </c>
      <c r="B19" s="214" t="s">
        <v>184</v>
      </c>
      <c r="C19" s="205" t="s">
        <v>129</v>
      </c>
      <c r="D19" s="207">
        <v>2.5</v>
      </c>
      <c r="E19" s="208">
        <v>0.88</v>
      </c>
      <c r="F19" s="231"/>
      <c r="G19" s="208">
        <f t="shared" si="0"/>
        <v>2.2000000000000002</v>
      </c>
    </row>
    <row r="20" spans="1:7" x14ac:dyDescent="0.25">
      <c r="A20" s="205" t="s">
        <v>185</v>
      </c>
      <c r="B20" s="214" t="s">
        <v>186</v>
      </c>
      <c r="C20" s="205" t="s">
        <v>129</v>
      </c>
      <c r="D20" s="207">
        <v>12</v>
      </c>
      <c r="E20" s="208">
        <v>0.51</v>
      </c>
      <c r="F20" s="231"/>
      <c r="G20" s="208">
        <f t="shared" si="0"/>
        <v>6.12</v>
      </c>
    </row>
    <row r="21" spans="1:7" x14ac:dyDescent="0.25">
      <c r="A21" s="205" t="s">
        <v>179</v>
      </c>
      <c r="B21" s="214" t="s">
        <v>180</v>
      </c>
      <c r="C21" s="205" t="s">
        <v>48</v>
      </c>
      <c r="D21" s="207">
        <v>1</v>
      </c>
      <c r="E21" s="208">
        <v>0.85</v>
      </c>
      <c r="F21" s="231"/>
      <c r="G21" s="208">
        <f t="shared" si="0"/>
        <v>0.85</v>
      </c>
    </row>
    <row r="22" spans="1:7" x14ac:dyDescent="0.25">
      <c r="A22" s="205" t="s">
        <v>187</v>
      </c>
      <c r="B22" s="214" t="s">
        <v>188</v>
      </c>
      <c r="C22" s="205" t="s">
        <v>48</v>
      </c>
      <c r="D22" s="207">
        <v>1</v>
      </c>
      <c r="E22" s="208">
        <v>0.6</v>
      </c>
      <c r="F22" s="231"/>
      <c r="G22" s="208">
        <f t="shared" si="0"/>
        <v>0.6</v>
      </c>
    </row>
    <row r="23" spans="1:7" x14ac:dyDescent="0.25">
      <c r="A23" s="205" t="s">
        <v>189</v>
      </c>
      <c r="B23" s="214" t="s">
        <v>190</v>
      </c>
      <c r="C23" s="205" t="s">
        <v>48</v>
      </c>
      <c r="D23" s="207">
        <v>0.2</v>
      </c>
      <c r="E23" s="208">
        <v>0.5</v>
      </c>
      <c r="F23" s="231"/>
      <c r="G23" s="208">
        <f t="shared" si="0"/>
        <v>0.1</v>
      </c>
    </row>
    <row r="24" spans="1:7" x14ac:dyDescent="0.25">
      <c r="A24" s="209" t="s">
        <v>191</v>
      </c>
      <c r="B24" s="216" t="s">
        <v>192</v>
      </c>
      <c r="C24" s="209" t="s">
        <v>48</v>
      </c>
      <c r="D24" s="211">
        <v>1</v>
      </c>
      <c r="E24" s="212">
        <v>3.4</v>
      </c>
      <c r="F24" s="232"/>
      <c r="G24" s="212">
        <f t="shared" si="0"/>
        <v>3.4</v>
      </c>
    </row>
    <row r="25" spans="1:7" x14ac:dyDescent="0.25">
      <c r="A25" s="398" t="s">
        <v>25</v>
      </c>
      <c r="B25" s="398"/>
      <c r="C25" s="398"/>
      <c r="D25" s="398"/>
      <c r="E25" s="398"/>
      <c r="F25" s="398"/>
      <c r="G25" s="24">
        <f>SUM(G17:G24)</f>
        <v>15.27</v>
      </c>
    </row>
    <row r="26" spans="1:7" x14ac:dyDescent="0.25">
      <c r="A26" s="14"/>
      <c r="B26" s="15"/>
      <c r="C26" s="14"/>
      <c r="D26" s="16"/>
      <c r="E26" s="17"/>
      <c r="F26" s="16"/>
      <c r="G26" s="17"/>
    </row>
    <row r="27" spans="1:7" x14ac:dyDescent="0.25">
      <c r="A27" s="395" t="s">
        <v>26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 t="s">
        <v>3</v>
      </c>
      <c r="D28" s="27" t="s">
        <v>4</v>
      </c>
      <c r="E28" s="27" t="s">
        <v>27</v>
      </c>
      <c r="F28" s="27" t="s">
        <v>28</v>
      </c>
      <c r="G28" s="27" t="s">
        <v>22</v>
      </c>
    </row>
    <row r="29" spans="1:7" x14ac:dyDescent="0.25">
      <c r="A29" s="22"/>
      <c r="B29" s="25"/>
      <c r="C29" s="22"/>
      <c r="D29" s="23"/>
      <c r="E29" s="24"/>
      <c r="F29" s="26"/>
      <c r="G29" s="21"/>
    </row>
    <row r="30" spans="1:7" x14ac:dyDescent="0.25">
      <c r="A30" s="393" t="s">
        <v>29</v>
      </c>
      <c r="B30" s="394"/>
      <c r="C30" s="394"/>
      <c r="D30" s="394"/>
      <c r="E30" s="394"/>
      <c r="F30" s="394"/>
      <c r="G30" s="24">
        <v>0</v>
      </c>
    </row>
    <row r="31" spans="1:7" x14ac:dyDescent="0.25">
      <c r="A31" s="14"/>
      <c r="B31" s="15"/>
      <c r="C31" s="14"/>
      <c r="D31" s="16"/>
      <c r="E31" s="17"/>
      <c r="F31" s="16"/>
      <c r="G31" s="17"/>
    </row>
    <row r="32" spans="1:7" x14ac:dyDescent="0.25">
      <c r="A32" s="395" t="s">
        <v>30</v>
      </c>
      <c r="B32" s="396"/>
      <c r="C32" s="396"/>
      <c r="D32" s="396"/>
      <c r="E32" s="396"/>
      <c r="F32" s="396"/>
      <c r="G32" s="397"/>
    </row>
    <row r="33" spans="1:7" x14ac:dyDescent="0.25">
      <c r="A33" s="27" t="s">
        <v>18</v>
      </c>
      <c r="B33" s="27" t="s">
        <v>19</v>
      </c>
      <c r="C33" s="27"/>
      <c r="D33" s="27" t="s">
        <v>31</v>
      </c>
      <c r="E33" s="27" t="s">
        <v>32</v>
      </c>
      <c r="F33" s="27" t="s">
        <v>21</v>
      </c>
      <c r="G33" s="27" t="s">
        <v>22</v>
      </c>
    </row>
    <row r="34" spans="1:7" x14ac:dyDescent="0.25">
      <c r="A34" s="201" t="s">
        <v>74</v>
      </c>
      <c r="B34" s="213" t="s">
        <v>75</v>
      </c>
      <c r="C34" s="190"/>
      <c r="D34" s="203">
        <v>1</v>
      </c>
      <c r="E34" s="204">
        <v>3.41</v>
      </c>
      <c r="F34" s="203">
        <v>0.36099999999999999</v>
      </c>
      <c r="G34" s="204">
        <f>ROUND(D34*E34*F34,2)</f>
        <v>1.23</v>
      </c>
    </row>
    <row r="35" spans="1:7" x14ac:dyDescent="0.25">
      <c r="A35" s="209" t="s">
        <v>76</v>
      </c>
      <c r="B35" s="216" t="s">
        <v>77</v>
      </c>
      <c r="C35" s="217"/>
      <c r="D35" s="211">
        <v>1</v>
      </c>
      <c r="E35" s="212">
        <v>3.45</v>
      </c>
      <c r="F35" s="211">
        <v>1.5660000000000001</v>
      </c>
      <c r="G35" s="212">
        <f>ROUND(D35*E35*F35,2)</f>
        <v>5.4</v>
      </c>
    </row>
    <row r="36" spans="1:7" x14ac:dyDescent="0.25">
      <c r="A36" s="398" t="s">
        <v>33</v>
      </c>
      <c r="B36" s="398"/>
      <c r="C36" s="398"/>
      <c r="D36" s="398"/>
      <c r="E36" s="398"/>
      <c r="F36" s="398"/>
      <c r="G36" s="24">
        <f>SUM(G34:G35)</f>
        <v>6.6300000000000008</v>
      </c>
    </row>
    <row r="37" spans="1:7" x14ac:dyDescent="0.25">
      <c r="A37" s="14"/>
      <c r="B37" s="15"/>
      <c r="C37" s="14"/>
      <c r="D37" s="16"/>
      <c r="E37" s="17"/>
      <c r="F37" s="16"/>
      <c r="G37" s="17"/>
    </row>
    <row r="38" spans="1:7" x14ac:dyDescent="0.25">
      <c r="A38" s="399" t="s">
        <v>34</v>
      </c>
      <c r="B38" s="400"/>
      <c r="C38" s="400"/>
      <c r="D38" s="400"/>
      <c r="E38" s="400"/>
      <c r="F38" s="400"/>
      <c r="G38" s="5">
        <f>G36+G30+G25+G13</f>
        <v>22.229999999999997</v>
      </c>
    </row>
    <row r="39" spans="1:7" ht="13.8" thickBot="1" x14ac:dyDescent="0.3">
      <c r="A39" s="28"/>
      <c r="B39" s="29"/>
      <c r="C39" s="29"/>
      <c r="D39" s="29"/>
      <c r="E39" s="29"/>
      <c r="F39" s="29"/>
      <c r="G39" s="5"/>
    </row>
    <row r="40" spans="1:7" ht="13.8" thickBot="1" x14ac:dyDescent="0.3">
      <c r="A40" s="418" t="s">
        <v>35</v>
      </c>
      <c r="B40" s="419"/>
      <c r="C40" s="419"/>
      <c r="D40" s="419"/>
      <c r="E40" s="419"/>
      <c r="F40" s="419"/>
      <c r="G40" s="420"/>
    </row>
    <row r="41" spans="1:7" x14ac:dyDescent="0.25">
      <c r="A41" s="421" t="s">
        <v>78</v>
      </c>
      <c r="B41" s="422"/>
      <c r="C41" s="422"/>
      <c r="D41" s="422"/>
      <c r="E41" s="422"/>
      <c r="F41" s="422"/>
      <c r="G41" s="5">
        <f>ROUND(0.21*G38,2)</f>
        <v>4.67</v>
      </c>
    </row>
    <row r="42" spans="1:7" ht="13.8" thickBot="1" x14ac:dyDescent="0.3">
      <c r="A42" s="14"/>
      <c r="B42" s="15"/>
      <c r="C42" s="14"/>
      <c r="D42" s="16"/>
      <c r="E42" s="17"/>
      <c r="F42" s="16"/>
      <c r="G42" s="17"/>
    </row>
    <row r="43" spans="1:7" ht="13.8" thickBot="1" x14ac:dyDescent="0.3">
      <c r="A43" s="416" t="s">
        <v>36</v>
      </c>
      <c r="B43" s="417"/>
      <c r="C43" s="417"/>
      <c r="D43" s="417"/>
      <c r="E43" s="417"/>
      <c r="F43" s="417"/>
      <c r="G43" s="31">
        <f>G38+G41</f>
        <v>26.9</v>
      </c>
    </row>
  </sheetData>
  <mergeCells count="19">
    <mergeCell ref="A27:G27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5:F25"/>
    <mergeCell ref="A43:F43"/>
    <mergeCell ref="A30:F30"/>
    <mergeCell ref="A32:G32"/>
    <mergeCell ref="A36:F36"/>
    <mergeCell ref="A38:F38"/>
    <mergeCell ref="A40:G40"/>
    <mergeCell ref="A41:F41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N20" sqref="N20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Presupuesto!B33</f>
        <v>26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Presupuesto!C33</f>
        <v>515314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Presupuesto!D33</f>
        <v>Interruptor empotrado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Presupuesto!E33</f>
        <v>u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ROUND(0.05*G35,2)</f>
        <v>0.34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0.34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177</v>
      </c>
      <c r="B17" s="213" t="s">
        <v>178</v>
      </c>
      <c r="C17" s="201" t="s">
        <v>129</v>
      </c>
      <c r="D17" s="203">
        <v>4</v>
      </c>
      <c r="E17" s="204">
        <v>0.3</v>
      </c>
      <c r="F17" s="230"/>
      <c r="G17" s="204">
        <f>ROUND(D17*E17,2)</f>
        <v>1.2</v>
      </c>
    </row>
    <row r="18" spans="1:7" x14ac:dyDescent="0.25">
      <c r="A18" s="205" t="s">
        <v>185</v>
      </c>
      <c r="B18" s="214" t="s">
        <v>186</v>
      </c>
      <c r="C18" s="205" t="s">
        <v>129</v>
      </c>
      <c r="D18" s="207">
        <v>4</v>
      </c>
      <c r="E18" s="208">
        <v>0.51</v>
      </c>
      <c r="F18" s="231"/>
      <c r="G18" s="208">
        <f t="shared" ref="G18:G23" si="0">ROUND(D18*E18,2)</f>
        <v>2.04</v>
      </c>
    </row>
    <row r="19" spans="1:7" x14ac:dyDescent="0.25">
      <c r="A19" s="205" t="s">
        <v>193</v>
      </c>
      <c r="B19" s="214" t="s">
        <v>194</v>
      </c>
      <c r="C19" s="205" t="s">
        <v>129</v>
      </c>
      <c r="D19" s="207">
        <v>4</v>
      </c>
      <c r="E19" s="208">
        <v>0.35</v>
      </c>
      <c r="F19" s="231"/>
      <c r="G19" s="208">
        <f t="shared" si="0"/>
        <v>1.4</v>
      </c>
    </row>
    <row r="20" spans="1:7" x14ac:dyDescent="0.25">
      <c r="A20" s="205" t="s">
        <v>179</v>
      </c>
      <c r="B20" s="214" t="s">
        <v>180</v>
      </c>
      <c r="C20" s="205" t="s">
        <v>48</v>
      </c>
      <c r="D20" s="207">
        <v>1</v>
      </c>
      <c r="E20" s="208">
        <v>0.85</v>
      </c>
      <c r="F20" s="231"/>
      <c r="G20" s="208">
        <f t="shared" si="0"/>
        <v>0.85</v>
      </c>
    </row>
    <row r="21" spans="1:7" x14ac:dyDescent="0.25">
      <c r="A21" s="205" t="s">
        <v>195</v>
      </c>
      <c r="B21" s="214" t="s">
        <v>196</v>
      </c>
      <c r="C21" s="205" t="s">
        <v>48</v>
      </c>
      <c r="D21" s="207">
        <v>1</v>
      </c>
      <c r="E21" s="208">
        <v>3.5</v>
      </c>
      <c r="F21" s="231"/>
      <c r="G21" s="208">
        <f t="shared" si="0"/>
        <v>3.5</v>
      </c>
    </row>
    <row r="22" spans="1:7" x14ac:dyDescent="0.25">
      <c r="A22" s="205" t="s">
        <v>187</v>
      </c>
      <c r="B22" s="214" t="s">
        <v>188</v>
      </c>
      <c r="C22" s="205" t="s">
        <v>48</v>
      </c>
      <c r="D22" s="207">
        <v>1</v>
      </c>
      <c r="E22" s="208">
        <v>0.6</v>
      </c>
      <c r="F22" s="231"/>
      <c r="G22" s="208">
        <f t="shared" si="0"/>
        <v>0.6</v>
      </c>
    </row>
    <row r="23" spans="1:7" x14ac:dyDescent="0.25">
      <c r="A23" s="209" t="s">
        <v>189</v>
      </c>
      <c r="B23" s="216" t="s">
        <v>190</v>
      </c>
      <c r="C23" s="209" t="s">
        <v>48</v>
      </c>
      <c r="D23" s="211">
        <v>0.2</v>
      </c>
      <c r="E23" s="212">
        <v>0.5</v>
      </c>
      <c r="F23" s="232"/>
      <c r="G23" s="212">
        <f t="shared" si="0"/>
        <v>0.1</v>
      </c>
    </row>
    <row r="24" spans="1:7" x14ac:dyDescent="0.25">
      <c r="A24" s="398" t="s">
        <v>25</v>
      </c>
      <c r="B24" s="398"/>
      <c r="C24" s="398"/>
      <c r="D24" s="398"/>
      <c r="E24" s="398"/>
      <c r="F24" s="398"/>
      <c r="G24" s="24">
        <f>SUM(G17:G23)</f>
        <v>9.69</v>
      </c>
    </row>
    <row r="25" spans="1:7" x14ac:dyDescent="0.25">
      <c r="A25" s="14"/>
      <c r="B25" s="15"/>
      <c r="C25" s="14"/>
      <c r="D25" s="16"/>
      <c r="E25" s="17"/>
      <c r="F25" s="16"/>
      <c r="G25" s="17"/>
    </row>
    <row r="26" spans="1:7" x14ac:dyDescent="0.25">
      <c r="A26" s="395" t="s">
        <v>26</v>
      </c>
      <c r="B26" s="396"/>
      <c r="C26" s="396"/>
      <c r="D26" s="396"/>
      <c r="E26" s="396"/>
      <c r="F26" s="396"/>
      <c r="G26" s="397"/>
    </row>
    <row r="27" spans="1:7" x14ac:dyDescent="0.25">
      <c r="A27" s="27" t="s">
        <v>18</v>
      </c>
      <c r="B27" s="27" t="s">
        <v>19</v>
      </c>
      <c r="C27" s="27" t="s">
        <v>3</v>
      </c>
      <c r="D27" s="27" t="s">
        <v>4</v>
      </c>
      <c r="E27" s="27" t="s">
        <v>27</v>
      </c>
      <c r="F27" s="27" t="s">
        <v>28</v>
      </c>
      <c r="G27" s="27" t="s">
        <v>22</v>
      </c>
    </row>
    <row r="28" spans="1:7" x14ac:dyDescent="0.25">
      <c r="A28" s="89"/>
      <c r="B28" s="242"/>
      <c r="C28" s="89"/>
      <c r="D28" s="90"/>
      <c r="E28" s="91"/>
      <c r="F28" s="243"/>
      <c r="G28" s="21"/>
    </row>
    <row r="29" spans="1:7" x14ac:dyDescent="0.25">
      <c r="A29" s="398" t="s">
        <v>29</v>
      </c>
      <c r="B29" s="423"/>
      <c r="C29" s="423"/>
      <c r="D29" s="423"/>
      <c r="E29" s="423"/>
      <c r="F29" s="423"/>
      <c r="G29" s="24">
        <v>0</v>
      </c>
    </row>
    <row r="30" spans="1:7" x14ac:dyDescent="0.25">
      <c r="A30" s="14"/>
      <c r="B30" s="15"/>
      <c r="C30" s="14"/>
      <c r="D30" s="16"/>
      <c r="E30" s="17"/>
      <c r="F30" s="16"/>
      <c r="G30" s="17"/>
    </row>
    <row r="31" spans="1:7" x14ac:dyDescent="0.25">
      <c r="A31" s="395" t="s">
        <v>30</v>
      </c>
      <c r="B31" s="396"/>
      <c r="C31" s="396"/>
      <c r="D31" s="396"/>
      <c r="E31" s="396"/>
      <c r="F31" s="396"/>
      <c r="G31" s="397"/>
    </row>
    <row r="32" spans="1:7" x14ac:dyDescent="0.25">
      <c r="A32" s="27" t="s">
        <v>18</v>
      </c>
      <c r="B32" s="27" t="s">
        <v>19</v>
      </c>
      <c r="C32" s="27"/>
      <c r="D32" s="27" t="s">
        <v>31</v>
      </c>
      <c r="E32" s="27" t="s">
        <v>32</v>
      </c>
      <c r="F32" s="27" t="s">
        <v>21</v>
      </c>
      <c r="G32" s="27" t="s">
        <v>22</v>
      </c>
    </row>
    <row r="33" spans="1:7" x14ac:dyDescent="0.25">
      <c r="A33" s="201" t="s">
        <v>74</v>
      </c>
      <c r="B33" s="213" t="s">
        <v>75</v>
      </c>
      <c r="C33" s="190"/>
      <c r="D33" s="203">
        <v>1</v>
      </c>
      <c r="E33" s="204">
        <v>3.41</v>
      </c>
      <c r="F33" s="203">
        <v>1</v>
      </c>
      <c r="G33" s="204">
        <f>ROUND(D33*E33*F33,2)</f>
        <v>3.41</v>
      </c>
    </row>
    <row r="34" spans="1:7" x14ac:dyDescent="0.25">
      <c r="A34" s="209" t="s">
        <v>76</v>
      </c>
      <c r="B34" s="216" t="s">
        <v>77</v>
      </c>
      <c r="C34" s="217"/>
      <c r="D34" s="211">
        <v>1</v>
      </c>
      <c r="E34" s="212">
        <v>3.45</v>
      </c>
      <c r="F34" s="211">
        <v>1</v>
      </c>
      <c r="G34" s="212">
        <f>ROUND(D34*E34*F34,2)</f>
        <v>3.45</v>
      </c>
    </row>
    <row r="35" spans="1:7" x14ac:dyDescent="0.25">
      <c r="A35" s="398" t="s">
        <v>33</v>
      </c>
      <c r="B35" s="398"/>
      <c r="C35" s="398"/>
      <c r="D35" s="398"/>
      <c r="E35" s="398"/>
      <c r="F35" s="398"/>
      <c r="G35" s="24">
        <f>SUM(G33:G34)</f>
        <v>6.86</v>
      </c>
    </row>
    <row r="36" spans="1:7" x14ac:dyDescent="0.25">
      <c r="A36" s="14"/>
      <c r="B36" s="15"/>
      <c r="C36" s="14"/>
      <c r="D36" s="16"/>
      <c r="E36" s="17"/>
      <c r="F36" s="16"/>
      <c r="G36" s="17"/>
    </row>
    <row r="37" spans="1:7" x14ac:dyDescent="0.25">
      <c r="A37" s="399" t="s">
        <v>34</v>
      </c>
      <c r="B37" s="400"/>
      <c r="C37" s="400"/>
      <c r="D37" s="400"/>
      <c r="E37" s="400"/>
      <c r="F37" s="400"/>
      <c r="G37" s="5">
        <f>+G35+G29+G24+G13</f>
        <v>16.89</v>
      </c>
    </row>
    <row r="38" spans="1:7" x14ac:dyDescent="0.25">
      <c r="A38" s="28"/>
      <c r="B38" s="29"/>
      <c r="C38" s="29"/>
      <c r="D38" s="29"/>
      <c r="E38" s="29"/>
      <c r="F38" s="29"/>
      <c r="G38" s="5"/>
    </row>
    <row r="39" spans="1:7" x14ac:dyDescent="0.25">
      <c r="A39" s="401" t="s">
        <v>35</v>
      </c>
      <c r="B39" s="402"/>
      <c r="C39" s="402"/>
      <c r="D39" s="402"/>
      <c r="E39" s="402"/>
      <c r="F39" s="402"/>
      <c r="G39" s="403"/>
    </row>
    <row r="40" spans="1:7" x14ac:dyDescent="0.25">
      <c r="A40" s="399" t="s">
        <v>78</v>
      </c>
      <c r="B40" s="400"/>
      <c r="C40" s="400"/>
      <c r="D40" s="400"/>
      <c r="E40" s="400"/>
      <c r="F40" s="400"/>
      <c r="G40" s="5">
        <f>ROUND(0.21*G37,2)</f>
        <v>3.55</v>
      </c>
    </row>
    <row r="41" spans="1:7" x14ac:dyDescent="0.25">
      <c r="A41" s="14"/>
      <c r="B41" s="15"/>
      <c r="C41" s="14"/>
      <c r="D41" s="16"/>
      <c r="E41" s="17"/>
      <c r="F41" s="16"/>
      <c r="G41" s="17"/>
    </row>
    <row r="42" spans="1:7" x14ac:dyDescent="0.25">
      <c r="A42" s="391" t="s">
        <v>36</v>
      </c>
      <c r="B42" s="392"/>
      <c r="C42" s="392"/>
      <c r="D42" s="392"/>
      <c r="E42" s="392"/>
      <c r="F42" s="392"/>
      <c r="G42" s="200">
        <f>G37+G40</f>
        <v>20.440000000000001</v>
      </c>
    </row>
  </sheetData>
  <mergeCells count="19">
    <mergeCell ref="A26:G26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4:F24"/>
    <mergeCell ref="A42:F42"/>
    <mergeCell ref="A29:F29"/>
    <mergeCell ref="A31:G31"/>
    <mergeCell ref="A35:F35"/>
    <mergeCell ref="A37:F37"/>
    <mergeCell ref="A39:G39"/>
    <mergeCell ref="A40:F40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4" workbookViewId="0">
      <selection activeCell="N20" sqref="N20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Presupuesto!B34</f>
        <v>27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Presupuesto!C34</f>
        <v>515295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Presupuesto!D34</f>
        <v>Cable THHn AWG -12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Presupuesto!E34</f>
        <v>m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ROUND(0.05*G29,2)</f>
        <v>0.03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0.03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19" t="s">
        <v>197</v>
      </c>
      <c r="B17" s="198" t="s">
        <v>198</v>
      </c>
      <c r="C17" s="19" t="s">
        <v>50</v>
      </c>
      <c r="D17" s="20">
        <v>1</v>
      </c>
      <c r="E17" s="21">
        <v>0.51</v>
      </c>
      <c r="F17" s="199"/>
      <c r="G17" s="21">
        <f>ROUND(D17*E17,2)</f>
        <v>0.51</v>
      </c>
    </row>
    <row r="18" spans="1:7" x14ac:dyDescent="0.25">
      <c r="A18" s="398" t="s">
        <v>25</v>
      </c>
      <c r="B18" s="398"/>
      <c r="C18" s="398"/>
      <c r="D18" s="398"/>
      <c r="E18" s="398"/>
      <c r="F18" s="398"/>
      <c r="G18" s="24">
        <f>G17</f>
        <v>0.51</v>
      </c>
    </row>
    <row r="19" spans="1:7" x14ac:dyDescent="0.25">
      <c r="A19" s="14"/>
      <c r="B19" s="15"/>
      <c r="C19" s="14"/>
      <c r="D19" s="16"/>
      <c r="E19" s="17"/>
      <c r="F19" s="16"/>
      <c r="G19" s="17"/>
    </row>
    <row r="20" spans="1:7" x14ac:dyDescent="0.25">
      <c r="A20" s="395" t="s">
        <v>26</v>
      </c>
      <c r="B20" s="396"/>
      <c r="C20" s="396"/>
      <c r="D20" s="396"/>
      <c r="E20" s="396"/>
      <c r="F20" s="396"/>
      <c r="G20" s="397"/>
    </row>
    <row r="21" spans="1:7" x14ac:dyDescent="0.25">
      <c r="A21" s="27" t="s">
        <v>18</v>
      </c>
      <c r="B21" s="27" t="s">
        <v>19</v>
      </c>
      <c r="C21" s="27" t="s">
        <v>3</v>
      </c>
      <c r="D21" s="27" t="s">
        <v>4</v>
      </c>
      <c r="E21" s="27" t="s">
        <v>27</v>
      </c>
      <c r="F21" s="27" t="s">
        <v>28</v>
      </c>
      <c r="G21" s="27" t="s">
        <v>22</v>
      </c>
    </row>
    <row r="22" spans="1:7" x14ac:dyDescent="0.25">
      <c r="A22" s="89"/>
      <c r="B22" s="242"/>
      <c r="C22" s="89"/>
      <c r="D22" s="90"/>
      <c r="E22" s="91"/>
      <c r="F22" s="243"/>
      <c r="G22" s="21"/>
    </row>
    <row r="23" spans="1:7" x14ac:dyDescent="0.25">
      <c r="A23" s="398" t="s">
        <v>29</v>
      </c>
      <c r="B23" s="423"/>
      <c r="C23" s="423"/>
      <c r="D23" s="423"/>
      <c r="E23" s="423"/>
      <c r="F23" s="423"/>
      <c r="G23" s="24">
        <v>0</v>
      </c>
    </row>
    <row r="24" spans="1:7" x14ac:dyDescent="0.25">
      <c r="A24" s="14"/>
      <c r="B24" s="15"/>
      <c r="C24" s="14"/>
      <c r="D24" s="16"/>
      <c r="E24" s="17"/>
      <c r="F24" s="16"/>
      <c r="G24" s="17"/>
    </row>
    <row r="25" spans="1:7" x14ac:dyDescent="0.25">
      <c r="A25" s="395" t="s">
        <v>30</v>
      </c>
      <c r="B25" s="396"/>
      <c r="C25" s="396"/>
      <c r="D25" s="396"/>
      <c r="E25" s="396"/>
      <c r="F25" s="396"/>
      <c r="G25" s="397"/>
    </row>
    <row r="26" spans="1:7" x14ac:dyDescent="0.25">
      <c r="A26" s="27" t="s">
        <v>18</v>
      </c>
      <c r="B26" s="27" t="s">
        <v>19</v>
      </c>
      <c r="C26" s="27"/>
      <c r="D26" s="27" t="s">
        <v>31</v>
      </c>
      <c r="E26" s="27" t="s">
        <v>32</v>
      </c>
      <c r="F26" s="27" t="s">
        <v>21</v>
      </c>
      <c r="G26" s="27" t="s">
        <v>22</v>
      </c>
    </row>
    <row r="27" spans="1:7" x14ac:dyDescent="0.25">
      <c r="A27" s="19" t="s">
        <v>74</v>
      </c>
      <c r="B27" s="198" t="s">
        <v>75</v>
      </c>
      <c r="C27" s="188"/>
      <c r="D27" s="20">
        <v>1</v>
      </c>
      <c r="E27" s="21">
        <v>3.41</v>
      </c>
      <c r="F27" s="20">
        <v>0.1</v>
      </c>
      <c r="G27" s="21">
        <f>ROUND(D27*E27*F27,2)</f>
        <v>0.34</v>
      </c>
    </row>
    <row r="28" spans="1:7" x14ac:dyDescent="0.25">
      <c r="A28" s="22" t="s">
        <v>76</v>
      </c>
      <c r="B28" s="25" t="s">
        <v>77</v>
      </c>
      <c r="C28" s="27"/>
      <c r="D28" s="23">
        <v>1</v>
      </c>
      <c r="E28" s="24">
        <v>3.45</v>
      </c>
      <c r="F28" s="23">
        <v>0.1</v>
      </c>
      <c r="G28" s="21">
        <f>ROUND(D28*E28*F28,2)</f>
        <v>0.35</v>
      </c>
    </row>
    <row r="29" spans="1:7" x14ac:dyDescent="0.25">
      <c r="A29" s="398" t="s">
        <v>33</v>
      </c>
      <c r="B29" s="398"/>
      <c r="C29" s="398"/>
      <c r="D29" s="398"/>
      <c r="E29" s="398"/>
      <c r="F29" s="398"/>
      <c r="G29" s="24">
        <f>SUM(G27:G28)</f>
        <v>0.69</v>
      </c>
    </row>
    <row r="30" spans="1:7" x14ac:dyDescent="0.25">
      <c r="A30" s="14"/>
      <c r="B30" s="15"/>
      <c r="C30" s="14"/>
      <c r="D30" s="16"/>
      <c r="E30" s="17"/>
      <c r="F30" s="16"/>
      <c r="G30" s="17"/>
    </row>
    <row r="31" spans="1:7" x14ac:dyDescent="0.25">
      <c r="A31" s="399" t="s">
        <v>34</v>
      </c>
      <c r="B31" s="400"/>
      <c r="C31" s="400"/>
      <c r="D31" s="400"/>
      <c r="E31" s="400"/>
      <c r="F31" s="400"/>
      <c r="G31" s="5">
        <f>+G29+G23+G18+G13</f>
        <v>1.23</v>
      </c>
    </row>
    <row r="32" spans="1:7" x14ac:dyDescent="0.25">
      <c r="A32" s="28"/>
      <c r="B32" s="29"/>
      <c r="C32" s="29"/>
      <c r="D32" s="29"/>
      <c r="E32" s="29"/>
      <c r="F32" s="29"/>
      <c r="G32" s="5"/>
    </row>
    <row r="33" spans="1:7" x14ac:dyDescent="0.25">
      <c r="A33" s="401" t="s">
        <v>35</v>
      </c>
      <c r="B33" s="402"/>
      <c r="C33" s="402"/>
      <c r="D33" s="402"/>
      <c r="E33" s="402"/>
      <c r="F33" s="402"/>
      <c r="G33" s="403"/>
    </row>
    <row r="34" spans="1:7" x14ac:dyDescent="0.25">
      <c r="A34" s="399" t="s">
        <v>78</v>
      </c>
      <c r="B34" s="400"/>
      <c r="C34" s="400"/>
      <c r="D34" s="400"/>
      <c r="E34" s="400"/>
      <c r="F34" s="400"/>
      <c r="G34" s="5">
        <f>ROUND(0.21*G31,2)</f>
        <v>0.26</v>
      </c>
    </row>
    <row r="35" spans="1:7" x14ac:dyDescent="0.25">
      <c r="A35" s="14"/>
      <c r="B35" s="15"/>
      <c r="C35" s="14"/>
      <c r="D35" s="16"/>
      <c r="E35" s="17"/>
      <c r="F35" s="16"/>
      <c r="G35" s="17"/>
    </row>
    <row r="36" spans="1:7" x14ac:dyDescent="0.25">
      <c r="A36" s="391" t="s">
        <v>36</v>
      </c>
      <c r="B36" s="392"/>
      <c r="C36" s="392"/>
      <c r="D36" s="392"/>
      <c r="E36" s="392"/>
      <c r="F36" s="392"/>
      <c r="G36" s="200">
        <f>G31+G34</f>
        <v>1.49</v>
      </c>
    </row>
  </sheetData>
  <mergeCells count="19"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  <mergeCell ref="A36:F36"/>
    <mergeCell ref="A23:F23"/>
    <mergeCell ref="A25:G25"/>
    <mergeCell ref="A29:F29"/>
    <mergeCell ref="A31:F31"/>
    <mergeCell ref="A33:G33"/>
    <mergeCell ref="A34:F34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B4" sqref="B4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68">
        <f>Presupuesto!B8</f>
        <v>1</v>
      </c>
      <c r="C3" s="66"/>
      <c r="D3" s="66"/>
      <c r="E3" s="37"/>
      <c r="F3" s="67"/>
      <c r="G3" s="67"/>
    </row>
    <row r="4" spans="1:7" x14ac:dyDescent="0.25">
      <c r="A4" s="37" t="s">
        <v>13</v>
      </c>
      <c r="B4" s="254" t="str">
        <f>Presupuesto!C8</f>
        <v>505255</v>
      </c>
      <c r="C4" s="187"/>
      <c r="D4" s="187"/>
      <c r="E4" s="187"/>
      <c r="F4" s="187"/>
      <c r="G4" s="187"/>
    </row>
    <row r="5" spans="1:7" x14ac:dyDescent="0.25">
      <c r="A5" s="37" t="s">
        <v>14</v>
      </c>
      <c r="B5" s="254" t="str">
        <f>Presupuesto!D8</f>
        <v>Replanteo y nivelación del proyecto con equipo topográfico</v>
      </c>
      <c r="C5" s="187"/>
      <c r="D5" s="187"/>
      <c r="E5" s="187"/>
      <c r="F5" s="187"/>
      <c r="G5" s="187"/>
    </row>
    <row r="6" spans="1:7" x14ac:dyDescent="0.25">
      <c r="A6" s="37" t="s">
        <v>15</v>
      </c>
      <c r="B6" s="254" t="str">
        <f>Presupuesto!E8</f>
        <v>m2</v>
      </c>
      <c r="C6" s="191"/>
      <c r="D6" s="191"/>
      <c r="E6" s="191"/>
      <c r="F6" s="191"/>
      <c r="G6" s="191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5" t="s">
        <v>17</v>
      </c>
      <c r="B10" s="386"/>
      <c r="C10" s="386"/>
      <c r="D10" s="386"/>
      <c r="E10" s="386"/>
      <c r="F10" s="386"/>
      <c r="G10" s="387"/>
    </row>
    <row r="11" spans="1:7" x14ac:dyDescent="0.25">
      <c r="A11" s="128" t="s">
        <v>18</v>
      </c>
      <c r="B11" s="129" t="s">
        <v>19</v>
      </c>
      <c r="C11" s="129" t="s">
        <v>3</v>
      </c>
      <c r="D11" s="130" t="s">
        <v>4</v>
      </c>
      <c r="E11" s="158" t="s">
        <v>20</v>
      </c>
      <c r="F11" s="130" t="s">
        <v>21</v>
      </c>
      <c r="G11" s="159" t="s">
        <v>22</v>
      </c>
    </row>
    <row r="12" spans="1:7" x14ac:dyDescent="0.25">
      <c r="A12" s="167" t="s">
        <v>252</v>
      </c>
      <c r="B12" s="168" t="s">
        <v>253</v>
      </c>
      <c r="C12" s="167" t="s">
        <v>85</v>
      </c>
      <c r="D12" s="169">
        <v>1</v>
      </c>
      <c r="E12" s="170">
        <v>7.5</v>
      </c>
      <c r="F12" s="169">
        <v>0.04</v>
      </c>
      <c r="G12" s="170">
        <f>ROUND(D12*E12*F12,2)</f>
        <v>0.3</v>
      </c>
    </row>
    <row r="13" spans="1:7" x14ac:dyDescent="0.25">
      <c r="A13" s="171" t="s">
        <v>79</v>
      </c>
      <c r="B13" s="172" t="s">
        <v>80</v>
      </c>
      <c r="C13" s="171" t="s">
        <v>81</v>
      </c>
      <c r="D13" s="173" t="s">
        <v>106</v>
      </c>
      <c r="E13" s="174"/>
      <c r="F13" s="173"/>
      <c r="G13" s="174">
        <f>ROUND(0.05*G34,2)</f>
        <v>0.03</v>
      </c>
    </row>
    <row r="14" spans="1:7" x14ac:dyDescent="0.25">
      <c r="A14" s="378" t="s">
        <v>23</v>
      </c>
      <c r="B14" s="378"/>
      <c r="C14" s="378"/>
      <c r="D14" s="378"/>
      <c r="E14" s="378"/>
      <c r="F14" s="378"/>
      <c r="G14" s="56">
        <f>SUM(G12:G13)</f>
        <v>0.32999999999999996</v>
      </c>
    </row>
    <row r="15" spans="1:7" x14ac:dyDescent="0.25">
      <c r="A15" s="45"/>
      <c r="B15" s="46"/>
      <c r="C15" s="45"/>
      <c r="D15" s="47"/>
      <c r="E15" s="48"/>
      <c r="F15" s="47"/>
      <c r="G15" s="48"/>
    </row>
    <row r="16" spans="1:7" x14ac:dyDescent="0.25">
      <c r="A16" s="385" t="s">
        <v>24</v>
      </c>
      <c r="B16" s="386"/>
      <c r="C16" s="386"/>
      <c r="D16" s="386"/>
      <c r="E16" s="386"/>
      <c r="F16" s="386"/>
      <c r="G16" s="387"/>
    </row>
    <row r="17" spans="1:7" x14ac:dyDescent="0.25">
      <c r="A17" s="128" t="s">
        <v>18</v>
      </c>
      <c r="B17" s="129" t="s">
        <v>19</v>
      </c>
      <c r="C17" s="129" t="s">
        <v>3</v>
      </c>
      <c r="D17" s="130" t="s">
        <v>4</v>
      </c>
      <c r="E17" s="158" t="s">
        <v>20</v>
      </c>
      <c r="F17" s="131"/>
      <c r="G17" s="159" t="s">
        <v>22</v>
      </c>
    </row>
    <row r="18" spans="1:7" x14ac:dyDescent="0.25">
      <c r="A18" s="167" t="s">
        <v>72</v>
      </c>
      <c r="B18" s="175" t="s">
        <v>73</v>
      </c>
      <c r="C18" s="167" t="s">
        <v>48</v>
      </c>
      <c r="D18" s="169">
        <v>0.5</v>
      </c>
      <c r="E18" s="170">
        <v>0.05</v>
      </c>
      <c r="F18" s="176"/>
      <c r="G18" s="170">
        <f>ROUND(D18*E18,2)</f>
        <v>0.03</v>
      </c>
    </row>
    <row r="19" spans="1:7" x14ac:dyDescent="0.25">
      <c r="A19" s="177" t="s">
        <v>254</v>
      </c>
      <c r="B19" s="178" t="s">
        <v>255</v>
      </c>
      <c r="C19" s="177" t="s">
        <v>121</v>
      </c>
      <c r="D19" s="179">
        <v>0.02</v>
      </c>
      <c r="E19" s="180">
        <v>2.5</v>
      </c>
      <c r="F19" s="181"/>
      <c r="G19" s="180">
        <f>ROUND(D19*E19,2)</f>
        <v>0.05</v>
      </c>
    </row>
    <row r="20" spans="1:7" x14ac:dyDescent="0.25">
      <c r="A20" s="177" t="s">
        <v>256</v>
      </c>
      <c r="B20" s="178" t="s">
        <v>257</v>
      </c>
      <c r="C20" s="177" t="s">
        <v>48</v>
      </c>
      <c r="D20" s="179">
        <v>0.2</v>
      </c>
      <c r="E20" s="180">
        <v>0.1</v>
      </c>
      <c r="F20" s="181"/>
      <c r="G20" s="180">
        <f t="shared" ref="G20:G21" si="0">ROUND(D20*E20,2)</f>
        <v>0.02</v>
      </c>
    </row>
    <row r="21" spans="1:7" x14ac:dyDescent="0.25">
      <c r="A21" s="171" t="s">
        <v>258</v>
      </c>
      <c r="B21" s="182" t="s">
        <v>259</v>
      </c>
      <c r="C21" s="171" t="s">
        <v>48</v>
      </c>
      <c r="D21" s="173">
        <v>0.25</v>
      </c>
      <c r="E21" s="174">
        <v>2</v>
      </c>
      <c r="F21" s="183"/>
      <c r="G21" s="174">
        <f t="shared" si="0"/>
        <v>0.5</v>
      </c>
    </row>
    <row r="22" spans="1:7" x14ac:dyDescent="0.25">
      <c r="A22" s="378" t="s">
        <v>25</v>
      </c>
      <c r="B22" s="378"/>
      <c r="C22" s="378"/>
      <c r="D22" s="378"/>
      <c r="E22" s="378"/>
      <c r="F22" s="378"/>
      <c r="G22" s="56">
        <f>SUM(G18:G21)</f>
        <v>0.6</v>
      </c>
    </row>
    <row r="23" spans="1:7" x14ac:dyDescent="0.25">
      <c r="A23" s="45"/>
      <c r="B23" s="46"/>
      <c r="C23" s="45"/>
      <c r="D23" s="47"/>
      <c r="E23" s="48"/>
      <c r="F23" s="47"/>
      <c r="G23" s="48"/>
    </row>
    <row r="24" spans="1:7" x14ac:dyDescent="0.25">
      <c r="A24" s="380" t="s">
        <v>26</v>
      </c>
      <c r="B24" s="381"/>
      <c r="C24" s="381"/>
      <c r="D24" s="381"/>
      <c r="E24" s="381"/>
      <c r="F24" s="381"/>
      <c r="G24" s="382"/>
    </row>
    <row r="25" spans="1:7" x14ac:dyDescent="0.25">
      <c r="A25" s="72" t="s">
        <v>18</v>
      </c>
      <c r="B25" s="72" t="s">
        <v>19</v>
      </c>
      <c r="C25" s="72" t="s">
        <v>3</v>
      </c>
      <c r="D25" s="72" t="s">
        <v>4</v>
      </c>
      <c r="E25" s="72" t="s">
        <v>27</v>
      </c>
      <c r="F25" s="72" t="s">
        <v>28</v>
      </c>
      <c r="G25" s="72" t="s">
        <v>22</v>
      </c>
    </row>
    <row r="26" spans="1:7" x14ac:dyDescent="0.25">
      <c r="A26" s="160"/>
      <c r="B26" s="161"/>
      <c r="C26" s="160"/>
      <c r="D26" s="162"/>
      <c r="E26" s="163"/>
      <c r="F26" s="131"/>
      <c r="G26" s="131"/>
    </row>
    <row r="27" spans="1:7" x14ac:dyDescent="0.25">
      <c r="A27" s="378" t="s">
        <v>29</v>
      </c>
      <c r="B27" s="379"/>
      <c r="C27" s="379"/>
      <c r="D27" s="379"/>
      <c r="E27" s="379"/>
      <c r="F27" s="379"/>
      <c r="G27" s="56">
        <v>0</v>
      </c>
    </row>
    <row r="28" spans="1:7" x14ac:dyDescent="0.25">
      <c r="A28" s="45"/>
      <c r="B28" s="46"/>
      <c r="C28" s="45"/>
      <c r="D28" s="47"/>
      <c r="E28" s="48"/>
      <c r="F28" s="47"/>
      <c r="G28" s="48"/>
    </row>
    <row r="29" spans="1:7" x14ac:dyDescent="0.25">
      <c r="A29" s="380" t="s">
        <v>30</v>
      </c>
      <c r="B29" s="381"/>
      <c r="C29" s="381"/>
      <c r="D29" s="381"/>
      <c r="E29" s="381"/>
      <c r="F29" s="381"/>
      <c r="G29" s="382"/>
    </row>
    <row r="30" spans="1:7" x14ac:dyDescent="0.25">
      <c r="A30" s="72" t="s">
        <v>18</v>
      </c>
      <c r="B30" s="72" t="s">
        <v>19</v>
      </c>
      <c r="C30" s="72"/>
      <c r="D30" s="72" t="s">
        <v>31</v>
      </c>
      <c r="E30" s="72" t="s">
        <v>32</v>
      </c>
      <c r="F30" s="72" t="s">
        <v>21</v>
      </c>
      <c r="G30" s="72" t="s">
        <v>22</v>
      </c>
    </row>
    <row r="31" spans="1:7" x14ac:dyDescent="0.25">
      <c r="A31" s="50" t="s">
        <v>260</v>
      </c>
      <c r="B31" s="164" t="s">
        <v>261</v>
      </c>
      <c r="C31" s="165"/>
      <c r="D31" s="51">
        <v>1</v>
      </c>
      <c r="E31" s="52">
        <v>3.82</v>
      </c>
      <c r="F31" s="51">
        <v>0.04</v>
      </c>
      <c r="G31" s="52">
        <f>ROUND(D31*E31*F31,2)</f>
        <v>0.15</v>
      </c>
    </row>
    <row r="32" spans="1:7" x14ac:dyDescent="0.25">
      <c r="A32" s="54" t="s">
        <v>76</v>
      </c>
      <c r="B32" s="53" t="s">
        <v>77</v>
      </c>
      <c r="C32" s="72"/>
      <c r="D32" s="55">
        <v>2</v>
      </c>
      <c r="E32" s="56">
        <v>3.45</v>
      </c>
      <c r="F32" s="55">
        <v>0.04</v>
      </c>
      <c r="G32" s="52">
        <f t="shared" ref="G32:G33" si="1">ROUND(D32*E32*F32,2)</f>
        <v>0.28000000000000003</v>
      </c>
    </row>
    <row r="33" spans="1:7" x14ac:dyDescent="0.25">
      <c r="A33" s="54" t="s">
        <v>74</v>
      </c>
      <c r="B33" s="53" t="s">
        <v>75</v>
      </c>
      <c r="C33" s="72"/>
      <c r="D33" s="55">
        <v>1</v>
      </c>
      <c r="E33" s="56">
        <v>3.41</v>
      </c>
      <c r="F33" s="55">
        <v>0.04</v>
      </c>
      <c r="G33" s="52">
        <f t="shared" si="1"/>
        <v>0.14000000000000001</v>
      </c>
    </row>
    <row r="34" spans="1:7" x14ac:dyDescent="0.25">
      <c r="A34" s="378" t="s">
        <v>33</v>
      </c>
      <c r="B34" s="378"/>
      <c r="C34" s="378"/>
      <c r="D34" s="378"/>
      <c r="E34" s="378"/>
      <c r="F34" s="378"/>
      <c r="G34" s="56">
        <f>SUM(G31:G33)</f>
        <v>0.57000000000000006</v>
      </c>
    </row>
    <row r="35" spans="1:7" x14ac:dyDescent="0.25">
      <c r="A35" s="45"/>
      <c r="B35" s="46"/>
      <c r="C35" s="45"/>
      <c r="D35" s="47"/>
      <c r="E35" s="48"/>
      <c r="F35" s="47"/>
      <c r="G35" s="48"/>
    </row>
    <row r="36" spans="1:7" x14ac:dyDescent="0.25">
      <c r="A36" s="383" t="s">
        <v>34</v>
      </c>
      <c r="B36" s="384"/>
      <c r="C36" s="384"/>
      <c r="D36" s="384"/>
      <c r="E36" s="384"/>
      <c r="F36" s="384"/>
      <c r="G36" s="58">
        <f>+G34+G27+G22+G14</f>
        <v>1.5</v>
      </c>
    </row>
    <row r="37" spans="1:7" x14ac:dyDescent="0.25">
      <c r="A37" s="69"/>
      <c r="B37" s="70"/>
      <c r="C37" s="70"/>
      <c r="D37" s="70"/>
      <c r="E37" s="70"/>
      <c r="F37" s="70"/>
      <c r="G37" s="58"/>
    </row>
    <row r="38" spans="1:7" x14ac:dyDescent="0.25">
      <c r="A38" s="385" t="s">
        <v>35</v>
      </c>
      <c r="B38" s="386"/>
      <c r="C38" s="386"/>
      <c r="D38" s="386"/>
      <c r="E38" s="386"/>
      <c r="F38" s="386"/>
      <c r="G38" s="387"/>
    </row>
    <row r="39" spans="1:7" x14ac:dyDescent="0.25">
      <c r="A39" s="383" t="s">
        <v>78</v>
      </c>
      <c r="B39" s="384"/>
      <c r="C39" s="384"/>
      <c r="D39" s="384"/>
      <c r="E39" s="384"/>
      <c r="F39" s="384"/>
      <c r="G39" s="58">
        <f>ROUND(0.21*G36,2)</f>
        <v>0.32</v>
      </c>
    </row>
    <row r="40" spans="1:7" x14ac:dyDescent="0.25">
      <c r="A40" s="45"/>
      <c r="B40" s="46"/>
      <c r="C40" s="45"/>
      <c r="D40" s="47"/>
      <c r="E40" s="48"/>
      <c r="F40" s="47"/>
      <c r="G40" s="48"/>
    </row>
    <row r="41" spans="1:7" x14ac:dyDescent="0.25">
      <c r="A41" s="376" t="s">
        <v>36</v>
      </c>
      <c r="B41" s="377"/>
      <c r="C41" s="377"/>
      <c r="D41" s="377"/>
      <c r="E41" s="377"/>
      <c r="F41" s="377"/>
      <c r="G41" s="166">
        <f>G36+G39</f>
        <v>1.82</v>
      </c>
    </row>
  </sheetData>
  <mergeCells count="16">
    <mergeCell ref="A24:G24"/>
    <mergeCell ref="A1:F1"/>
    <mergeCell ref="B2:D2"/>
    <mergeCell ref="F2:G2"/>
    <mergeCell ref="A8:G8"/>
    <mergeCell ref="A10:G10"/>
    <mergeCell ref="A14:F14"/>
    <mergeCell ref="A16:G16"/>
    <mergeCell ref="A22:F22"/>
    <mergeCell ref="A41:F41"/>
    <mergeCell ref="A27:F27"/>
    <mergeCell ref="A29:G29"/>
    <mergeCell ref="A34:F34"/>
    <mergeCell ref="A36:F36"/>
    <mergeCell ref="A38:G38"/>
    <mergeCell ref="A39:F39"/>
  </mergeCells>
  <pageMargins left="0.61" right="0.5" top="0.38" bottom="0.75" header="0" footer="0.49"/>
  <pageSetup paperSize="9" orientation="portrait" r:id="rId1"/>
  <headerFooter alignWithMargins="0">
    <oddHeader>&amp;R- InterPro -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14" workbookViewId="0">
      <selection activeCell="G37" sqref="G37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297" t="s">
        <v>12</v>
      </c>
      <c r="B3" s="304">
        <f>Presupuesto!B35</f>
        <v>28</v>
      </c>
      <c r="C3" s="305"/>
      <c r="D3" s="305"/>
      <c r="E3" s="297"/>
      <c r="F3" s="305"/>
      <c r="G3" s="305"/>
    </row>
    <row r="4" spans="1:7" x14ac:dyDescent="0.25">
      <c r="A4" s="297" t="s">
        <v>13</v>
      </c>
      <c r="B4" s="435" t="str">
        <f>Presupuesto!C35</f>
        <v>500499</v>
      </c>
      <c r="C4" s="415"/>
      <c r="D4" s="415"/>
      <c r="E4" s="415"/>
      <c r="F4" s="415"/>
      <c r="G4" s="415"/>
    </row>
    <row r="5" spans="1:7" x14ac:dyDescent="0.25">
      <c r="A5" s="297" t="s">
        <v>14</v>
      </c>
      <c r="B5" s="435" t="str">
        <f>Presupuesto!D35</f>
        <v>Cable THHn AWG - 6</v>
      </c>
      <c r="C5" s="415"/>
      <c r="D5" s="415"/>
      <c r="E5" s="415"/>
      <c r="F5" s="415"/>
      <c r="G5" s="415"/>
    </row>
    <row r="6" spans="1:7" x14ac:dyDescent="0.25">
      <c r="A6" s="297" t="s">
        <v>15</v>
      </c>
      <c r="B6" s="435" t="str">
        <f>Presupuesto!E35</f>
        <v>m</v>
      </c>
      <c r="C6" s="415"/>
      <c r="D6" s="415"/>
      <c r="E6" s="415"/>
      <c r="F6" s="415"/>
      <c r="G6" s="415"/>
    </row>
    <row r="7" spans="1:7" ht="13.8" thickBot="1" x14ac:dyDescent="0.3">
      <c r="A7" s="41"/>
      <c r="B7" s="42"/>
      <c r="C7" s="43"/>
      <c r="D7" s="44"/>
      <c r="E7" s="44"/>
      <c r="F7" s="44"/>
      <c r="G7" s="44"/>
    </row>
    <row r="8" spans="1:7" ht="13.8" thickBot="1" x14ac:dyDescent="0.3">
      <c r="A8" s="428" t="s">
        <v>16</v>
      </c>
      <c r="B8" s="429"/>
      <c r="C8" s="429"/>
      <c r="D8" s="429"/>
      <c r="E8" s="429"/>
      <c r="F8" s="429"/>
      <c r="G8" s="430"/>
    </row>
    <row r="9" spans="1:7" ht="13.8" thickBot="1" x14ac:dyDescent="0.3">
      <c r="A9" s="45"/>
      <c r="B9" s="46"/>
      <c r="C9" s="45"/>
      <c r="D9" s="47"/>
      <c r="E9" s="48"/>
      <c r="F9" s="47"/>
      <c r="G9" s="48"/>
    </row>
    <row r="10" spans="1:7" ht="13.8" thickBot="1" x14ac:dyDescent="0.3">
      <c r="A10" s="428" t="s">
        <v>17</v>
      </c>
      <c r="B10" s="429"/>
      <c r="C10" s="429"/>
      <c r="D10" s="429"/>
      <c r="E10" s="429"/>
      <c r="F10" s="429"/>
      <c r="G10" s="430"/>
    </row>
    <row r="11" spans="1:7" ht="13.8" thickBot="1" x14ac:dyDescent="0.3">
      <c r="A11" s="306" t="s">
        <v>18</v>
      </c>
      <c r="B11" s="307" t="s">
        <v>19</v>
      </c>
      <c r="C11" s="307" t="s">
        <v>3</v>
      </c>
      <c r="D11" s="308" t="s">
        <v>4</v>
      </c>
      <c r="E11" s="309" t="s">
        <v>20</v>
      </c>
      <c r="F11" s="308" t="s">
        <v>21</v>
      </c>
      <c r="G11" s="310" t="s">
        <v>22</v>
      </c>
    </row>
    <row r="12" spans="1:7" x14ac:dyDescent="0.25">
      <c r="A12" s="311" t="s">
        <v>79</v>
      </c>
      <c r="B12" s="49" t="s">
        <v>80</v>
      </c>
      <c r="C12" s="50" t="s">
        <v>81</v>
      </c>
      <c r="D12" s="51" t="s">
        <v>106</v>
      </c>
      <c r="E12" s="52"/>
      <c r="F12" s="51"/>
      <c r="G12" s="312">
        <f>ROUND(0.05*G29,2)</f>
        <v>0.03</v>
      </c>
    </row>
    <row r="13" spans="1:7" ht="13.8" thickBot="1" x14ac:dyDescent="0.3">
      <c r="A13" s="431" t="s">
        <v>23</v>
      </c>
      <c r="B13" s="432"/>
      <c r="C13" s="432"/>
      <c r="D13" s="432"/>
      <c r="E13" s="432"/>
      <c r="F13" s="432"/>
      <c r="G13" s="313">
        <f>SUM(G12)</f>
        <v>0.03</v>
      </c>
    </row>
    <row r="14" spans="1:7" ht="13.8" thickBot="1" x14ac:dyDescent="0.3">
      <c r="A14" s="45"/>
      <c r="B14" s="46"/>
      <c r="C14" s="45"/>
      <c r="D14" s="47"/>
      <c r="E14" s="48"/>
      <c r="F14" s="47"/>
      <c r="G14" s="48"/>
    </row>
    <row r="15" spans="1:7" ht="13.8" thickBot="1" x14ac:dyDescent="0.3">
      <c r="A15" s="428" t="s">
        <v>24</v>
      </c>
      <c r="B15" s="429"/>
      <c r="C15" s="429"/>
      <c r="D15" s="429"/>
      <c r="E15" s="429"/>
      <c r="F15" s="429"/>
      <c r="G15" s="430"/>
    </row>
    <row r="16" spans="1:7" ht="13.8" thickBot="1" x14ac:dyDescent="0.3">
      <c r="A16" s="306" t="s">
        <v>18</v>
      </c>
      <c r="B16" s="307" t="s">
        <v>19</v>
      </c>
      <c r="C16" s="307" t="s">
        <v>3</v>
      </c>
      <c r="D16" s="308" t="s">
        <v>4</v>
      </c>
      <c r="E16" s="309" t="s">
        <v>20</v>
      </c>
      <c r="F16" s="314"/>
      <c r="G16" s="310" t="s">
        <v>22</v>
      </c>
    </row>
    <row r="17" spans="1:7" x14ac:dyDescent="0.25">
      <c r="A17" s="315" t="s">
        <v>483</v>
      </c>
      <c r="B17" s="316" t="s">
        <v>484</v>
      </c>
      <c r="C17" s="317" t="s">
        <v>50</v>
      </c>
      <c r="D17" s="318">
        <v>1</v>
      </c>
      <c r="E17" s="319">
        <v>2.0099999999999998</v>
      </c>
      <c r="F17" s="320"/>
      <c r="G17" s="321">
        <f>ROUND(D17*E17,2)</f>
        <v>2.0099999999999998</v>
      </c>
    </row>
    <row r="18" spans="1:7" ht="13.8" thickBot="1" x14ac:dyDescent="0.3">
      <c r="A18" s="431" t="s">
        <v>25</v>
      </c>
      <c r="B18" s="432"/>
      <c r="C18" s="432"/>
      <c r="D18" s="432"/>
      <c r="E18" s="432"/>
      <c r="F18" s="432"/>
      <c r="G18" s="313">
        <f>G17</f>
        <v>2.0099999999999998</v>
      </c>
    </row>
    <row r="19" spans="1:7" ht="13.8" thickBot="1" x14ac:dyDescent="0.3">
      <c r="A19" s="45"/>
      <c r="B19" s="46"/>
      <c r="C19" s="45"/>
      <c r="D19" s="47"/>
      <c r="E19" s="48"/>
      <c r="F19" s="47"/>
      <c r="G19" s="48"/>
    </row>
    <row r="20" spans="1:7" ht="13.8" thickBot="1" x14ac:dyDescent="0.3">
      <c r="A20" s="428" t="s">
        <v>26</v>
      </c>
      <c r="B20" s="429"/>
      <c r="C20" s="429"/>
      <c r="D20" s="429"/>
      <c r="E20" s="429"/>
      <c r="F20" s="429"/>
      <c r="G20" s="430"/>
    </row>
    <row r="21" spans="1:7" ht="13.8" thickBot="1" x14ac:dyDescent="0.3">
      <c r="A21" s="306" t="s">
        <v>18</v>
      </c>
      <c r="B21" s="307" t="s">
        <v>19</v>
      </c>
      <c r="C21" s="307" t="s">
        <v>3</v>
      </c>
      <c r="D21" s="307" t="s">
        <v>4</v>
      </c>
      <c r="E21" s="307" t="s">
        <v>27</v>
      </c>
      <c r="F21" s="307" t="s">
        <v>28</v>
      </c>
      <c r="G21" s="322" t="s">
        <v>22</v>
      </c>
    </row>
    <row r="22" spans="1:7" ht="13.8" thickBot="1" x14ac:dyDescent="0.3">
      <c r="A22" s="323"/>
      <c r="B22" s="53"/>
      <c r="C22" s="54"/>
      <c r="D22" s="55"/>
      <c r="E22" s="56"/>
      <c r="F22" s="57"/>
      <c r="G22" s="324"/>
    </row>
    <row r="23" spans="1:7" ht="13.8" thickBot="1" x14ac:dyDescent="0.3">
      <c r="A23" s="426" t="s">
        <v>29</v>
      </c>
      <c r="B23" s="427"/>
      <c r="C23" s="427"/>
      <c r="D23" s="427"/>
      <c r="E23" s="427"/>
      <c r="F23" s="427"/>
      <c r="G23" s="313">
        <v>0</v>
      </c>
    </row>
    <row r="24" spans="1:7" ht="13.8" thickBot="1" x14ac:dyDescent="0.3">
      <c r="A24" s="45"/>
      <c r="B24" s="46"/>
      <c r="C24" s="45"/>
      <c r="D24" s="47"/>
      <c r="E24" s="48"/>
      <c r="F24" s="47"/>
      <c r="G24" s="48"/>
    </row>
    <row r="25" spans="1:7" ht="13.8" thickBot="1" x14ac:dyDescent="0.3">
      <c r="A25" s="428" t="s">
        <v>30</v>
      </c>
      <c r="B25" s="429"/>
      <c r="C25" s="429"/>
      <c r="D25" s="429"/>
      <c r="E25" s="429"/>
      <c r="F25" s="429"/>
      <c r="G25" s="430"/>
    </row>
    <row r="26" spans="1:7" ht="13.8" thickBot="1" x14ac:dyDescent="0.3">
      <c r="A26" s="306" t="s">
        <v>18</v>
      </c>
      <c r="B26" s="307" t="s">
        <v>19</v>
      </c>
      <c r="C26" s="307"/>
      <c r="D26" s="307" t="s">
        <v>31</v>
      </c>
      <c r="E26" s="307" t="s">
        <v>32</v>
      </c>
      <c r="F26" s="307" t="s">
        <v>21</v>
      </c>
      <c r="G26" s="322" t="s">
        <v>22</v>
      </c>
    </row>
    <row r="27" spans="1:7" ht="13.8" thickBot="1" x14ac:dyDescent="0.3">
      <c r="A27" s="315" t="s">
        <v>74</v>
      </c>
      <c r="B27" s="316" t="s">
        <v>75</v>
      </c>
      <c r="C27" s="325"/>
      <c r="D27" s="318">
        <v>1</v>
      </c>
      <c r="E27" s="319">
        <v>3.41</v>
      </c>
      <c r="F27" s="318">
        <v>0.1</v>
      </c>
      <c r="G27" s="321">
        <f>ROUND(D27*E27*F27,2)</f>
        <v>0.34</v>
      </c>
    </row>
    <row r="28" spans="1:7" x14ac:dyDescent="0.25">
      <c r="A28" s="323" t="s">
        <v>76</v>
      </c>
      <c r="B28" s="53" t="s">
        <v>77</v>
      </c>
      <c r="C28" s="72"/>
      <c r="D28" s="55">
        <v>1</v>
      </c>
      <c r="E28" s="56">
        <v>3.45</v>
      </c>
      <c r="F28" s="55">
        <v>0.1</v>
      </c>
      <c r="G28" s="321">
        <f>ROUND(D28*E28*F28,2)</f>
        <v>0.35</v>
      </c>
    </row>
    <row r="29" spans="1:7" ht="13.8" thickBot="1" x14ac:dyDescent="0.3">
      <c r="A29" s="431" t="s">
        <v>33</v>
      </c>
      <c r="B29" s="432"/>
      <c r="C29" s="432"/>
      <c r="D29" s="432"/>
      <c r="E29" s="432"/>
      <c r="F29" s="432"/>
      <c r="G29" s="313">
        <f>SUM(G27:G28)</f>
        <v>0.69</v>
      </c>
    </row>
    <row r="30" spans="1:7" x14ac:dyDescent="0.25">
      <c r="A30" s="45"/>
      <c r="B30" s="46"/>
      <c r="C30" s="45"/>
      <c r="D30" s="47"/>
      <c r="E30" s="48"/>
      <c r="F30" s="47"/>
      <c r="G30" s="48"/>
    </row>
    <row r="31" spans="1:7" x14ac:dyDescent="0.25">
      <c r="A31" s="383" t="s">
        <v>34</v>
      </c>
      <c r="B31" s="384"/>
      <c r="C31" s="384"/>
      <c r="D31" s="384"/>
      <c r="E31" s="384"/>
      <c r="F31" s="384"/>
      <c r="G31" s="58">
        <f>+G13+G18+G23+G29</f>
        <v>2.7299999999999995</v>
      </c>
    </row>
    <row r="32" spans="1:7" ht="13.8" thickBot="1" x14ac:dyDescent="0.3">
      <c r="A32" s="300"/>
      <c r="B32" s="301"/>
      <c r="C32" s="301"/>
      <c r="D32" s="301"/>
      <c r="E32" s="301"/>
      <c r="F32" s="301"/>
      <c r="G32" s="58"/>
    </row>
    <row r="33" spans="1:7" ht="13.8" thickBot="1" x14ac:dyDescent="0.3">
      <c r="A33" s="428" t="s">
        <v>35</v>
      </c>
      <c r="B33" s="429"/>
      <c r="C33" s="429"/>
      <c r="D33" s="429"/>
      <c r="E33" s="429"/>
      <c r="F33" s="429"/>
      <c r="G33" s="430"/>
    </row>
    <row r="34" spans="1:7" x14ac:dyDescent="0.25">
      <c r="A34" s="433" t="s">
        <v>78</v>
      </c>
      <c r="B34" s="434"/>
      <c r="C34" s="434"/>
      <c r="D34" s="434"/>
      <c r="E34" s="434"/>
      <c r="F34" s="434"/>
      <c r="G34" s="58">
        <f>0.21*G31</f>
        <v>0.57329999999999992</v>
      </c>
    </row>
    <row r="35" spans="1:7" ht="13.8" thickBot="1" x14ac:dyDescent="0.3">
      <c r="A35" s="45"/>
      <c r="B35" s="46"/>
      <c r="C35" s="45"/>
      <c r="D35" s="47"/>
      <c r="E35" s="48"/>
      <c r="F35" s="47"/>
      <c r="G35" s="48"/>
    </row>
    <row r="36" spans="1:7" ht="13.8" thickBot="1" x14ac:dyDescent="0.3">
      <c r="A36" s="424" t="s">
        <v>36</v>
      </c>
      <c r="B36" s="425"/>
      <c r="C36" s="425"/>
      <c r="D36" s="425"/>
      <c r="E36" s="425"/>
      <c r="F36" s="425"/>
      <c r="G36" s="326">
        <f>G31+G34</f>
        <v>3.3032999999999992</v>
      </c>
    </row>
  </sheetData>
  <mergeCells count="19"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  <mergeCell ref="A36:F36"/>
    <mergeCell ref="A23:F23"/>
    <mergeCell ref="A25:G25"/>
    <mergeCell ref="A29:F29"/>
    <mergeCell ref="A31:F31"/>
    <mergeCell ref="A33:G33"/>
    <mergeCell ref="A34:F34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3" workbookViewId="0">
      <selection activeCell="G29" sqref="G29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196">
        <f>Presupuesto!B36</f>
        <v>29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Presupuesto!C36</f>
        <v>500501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Presupuesto!D36</f>
        <v>Acometida eléctrica provisional para ejecución de obra, incl. inst. y mat.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Presupuesto!E36</f>
        <v>u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ROUND(0.05*G31,2)</f>
        <v>0.1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0.1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ht="21" x14ac:dyDescent="0.25">
      <c r="A17" s="201" t="s">
        <v>559</v>
      </c>
      <c r="B17" s="334" t="s">
        <v>560</v>
      </c>
      <c r="C17" s="201" t="s">
        <v>48</v>
      </c>
      <c r="D17" s="203">
        <v>1</v>
      </c>
      <c r="E17" s="204">
        <v>661.5</v>
      </c>
      <c r="F17" s="230"/>
      <c r="G17" s="204">
        <f>ROUND(D17*E17,2)</f>
        <v>661.5</v>
      </c>
    </row>
    <row r="18" spans="1:7" x14ac:dyDescent="0.25">
      <c r="A18" s="205"/>
      <c r="B18" s="214"/>
      <c r="C18" s="205"/>
      <c r="D18" s="207"/>
      <c r="E18" s="208"/>
      <c r="F18" s="231"/>
      <c r="G18" s="208"/>
    </row>
    <row r="19" spans="1:7" x14ac:dyDescent="0.25">
      <c r="A19" s="209"/>
      <c r="B19" s="216"/>
      <c r="C19" s="209"/>
      <c r="D19" s="211"/>
      <c r="E19" s="212"/>
      <c r="F19" s="232"/>
      <c r="G19" s="212"/>
    </row>
    <row r="20" spans="1:7" x14ac:dyDescent="0.25">
      <c r="A20" s="398" t="s">
        <v>25</v>
      </c>
      <c r="B20" s="398"/>
      <c r="C20" s="398"/>
      <c r="D20" s="398"/>
      <c r="E20" s="398"/>
      <c r="F20" s="398"/>
      <c r="G20" s="24">
        <f>SUM(G17:G19)</f>
        <v>661.5</v>
      </c>
    </row>
    <row r="21" spans="1:7" x14ac:dyDescent="0.25">
      <c r="A21" s="14"/>
      <c r="B21" s="15"/>
      <c r="C21" s="14"/>
      <c r="D21" s="16"/>
      <c r="E21" s="17"/>
      <c r="F21" s="16"/>
      <c r="G21" s="17"/>
    </row>
    <row r="22" spans="1:7" x14ac:dyDescent="0.25">
      <c r="A22" s="395" t="s">
        <v>26</v>
      </c>
      <c r="B22" s="396"/>
      <c r="C22" s="396"/>
      <c r="D22" s="396"/>
      <c r="E22" s="396"/>
      <c r="F22" s="396"/>
      <c r="G22" s="397"/>
    </row>
    <row r="23" spans="1:7" x14ac:dyDescent="0.25">
      <c r="A23" s="27" t="s">
        <v>18</v>
      </c>
      <c r="B23" s="27" t="s">
        <v>19</v>
      </c>
      <c r="C23" s="27" t="s">
        <v>3</v>
      </c>
      <c r="D23" s="27" t="s">
        <v>4</v>
      </c>
      <c r="E23" s="27" t="s">
        <v>27</v>
      </c>
      <c r="F23" s="27" t="s">
        <v>28</v>
      </c>
      <c r="G23" s="27" t="s">
        <v>22</v>
      </c>
    </row>
    <row r="24" spans="1:7" x14ac:dyDescent="0.25">
      <c r="A24" s="89"/>
      <c r="B24" s="242"/>
      <c r="C24" s="89"/>
      <c r="D24" s="90"/>
      <c r="E24" s="91"/>
      <c r="F24" s="243"/>
      <c r="G24" s="21"/>
    </row>
    <row r="25" spans="1:7" x14ac:dyDescent="0.25">
      <c r="A25" s="398" t="s">
        <v>29</v>
      </c>
      <c r="B25" s="423"/>
      <c r="C25" s="423"/>
      <c r="D25" s="423"/>
      <c r="E25" s="423"/>
      <c r="F25" s="423"/>
      <c r="G25" s="24">
        <v>0</v>
      </c>
    </row>
    <row r="26" spans="1:7" x14ac:dyDescent="0.25">
      <c r="A26" s="14"/>
      <c r="B26" s="15"/>
      <c r="C26" s="14"/>
      <c r="D26" s="16"/>
      <c r="E26" s="17"/>
      <c r="F26" s="16"/>
      <c r="G26" s="17"/>
    </row>
    <row r="27" spans="1:7" x14ac:dyDescent="0.25">
      <c r="A27" s="395" t="s">
        <v>30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/>
      <c r="D28" s="27" t="s">
        <v>31</v>
      </c>
      <c r="E28" s="27" t="s">
        <v>32</v>
      </c>
      <c r="F28" s="27" t="s">
        <v>21</v>
      </c>
      <c r="G28" s="27" t="s">
        <v>22</v>
      </c>
    </row>
    <row r="29" spans="1:7" x14ac:dyDescent="0.25">
      <c r="A29" s="201" t="s">
        <v>90</v>
      </c>
      <c r="B29" s="213" t="s">
        <v>91</v>
      </c>
      <c r="C29" s="190"/>
      <c r="D29" s="203">
        <v>1</v>
      </c>
      <c r="E29" s="204">
        <v>3.83</v>
      </c>
      <c r="F29" s="203">
        <v>0.5</v>
      </c>
      <c r="G29" s="204">
        <f>ROUND(D29*E29*F29,2)</f>
        <v>1.92</v>
      </c>
    </row>
    <row r="30" spans="1:7" x14ac:dyDescent="0.25">
      <c r="A30" s="209"/>
      <c r="B30" s="216"/>
      <c r="C30" s="217"/>
      <c r="D30" s="211"/>
      <c r="E30" s="212"/>
      <c r="F30" s="211"/>
      <c r="G30" s="212"/>
    </row>
    <row r="31" spans="1:7" x14ac:dyDescent="0.25">
      <c r="A31" s="398" t="s">
        <v>33</v>
      </c>
      <c r="B31" s="398"/>
      <c r="C31" s="398"/>
      <c r="D31" s="398"/>
      <c r="E31" s="398"/>
      <c r="F31" s="398"/>
      <c r="G31" s="24">
        <f>SUM(G29:G30)</f>
        <v>1.92</v>
      </c>
    </row>
    <row r="32" spans="1:7" x14ac:dyDescent="0.25">
      <c r="A32" s="14"/>
      <c r="B32" s="15"/>
      <c r="C32" s="14"/>
      <c r="D32" s="16"/>
      <c r="E32" s="17"/>
      <c r="F32" s="16"/>
      <c r="G32" s="17"/>
    </row>
    <row r="33" spans="1:7" x14ac:dyDescent="0.25">
      <c r="A33" s="399" t="s">
        <v>34</v>
      </c>
      <c r="B33" s="400"/>
      <c r="C33" s="400"/>
      <c r="D33" s="400"/>
      <c r="E33" s="400"/>
      <c r="F33" s="400"/>
      <c r="G33" s="5">
        <f>G13+G20+G25+G31</f>
        <v>663.52</v>
      </c>
    </row>
    <row r="34" spans="1:7" x14ac:dyDescent="0.25">
      <c r="A34" s="28"/>
      <c r="B34" s="29"/>
      <c r="C34" s="29"/>
      <c r="D34" s="29"/>
      <c r="E34" s="29"/>
      <c r="F34" s="29"/>
      <c r="G34" s="5"/>
    </row>
    <row r="35" spans="1:7" x14ac:dyDescent="0.25">
      <c r="A35" s="401" t="s">
        <v>35</v>
      </c>
      <c r="B35" s="402"/>
      <c r="C35" s="402"/>
      <c r="D35" s="402"/>
      <c r="E35" s="402"/>
      <c r="F35" s="402"/>
      <c r="G35" s="403"/>
    </row>
    <row r="36" spans="1:7" x14ac:dyDescent="0.25">
      <c r="A36" s="399" t="s">
        <v>78</v>
      </c>
      <c r="B36" s="400"/>
      <c r="C36" s="400"/>
      <c r="D36" s="400"/>
      <c r="E36" s="400"/>
      <c r="F36" s="400"/>
      <c r="G36" s="5">
        <f>ROUND(0.21*G33,2)</f>
        <v>139.34</v>
      </c>
    </row>
    <row r="37" spans="1:7" x14ac:dyDescent="0.25">
      <c r="A37" s="14"/>
      <c r="B37" s="15"/>
      <c r="C37" s="14"/>
      <c r="D37" s="16"/>
      <c r="E37" s="17"/>
      <c r="F37" s="16"/>
      <c r="G37" s="17"/>
    </row>
    <row r="38" spans="1:7" x14ac:dyDescent="0.25">
      <c r="A38" s="391" t="s">
        <v>36</v>
      </c>
      <c r="B38" s="392"/>
      <c r="C38" s="392"/>
      <c r="D38" s="392"/>
      <c r="E38" s="392"/>
      <c r="F38" s="392"/>
      <c r="G38" s="200">
        <f>+G33+G36</f>
        <v>802.86</v>
      </c>
    </row>
  </sheetData>
  <mergeCells count="19">
    <mergeCell ref="A22:G22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0:F20"/>
    <mergeCell ref="A38:F38"/>
    <mergeCell ref="A25:F25"/>
    <mergeCell ref="A27:G27"/>
    <mergeCell ref="A31:F31"/>
    <mergeCell ref="A33:F33"/>
    <mergeCell ref="A35:G35"/>
    <mergeCell ref="A36:F36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4" workbookViewId="0">
      <selection activeCell="P26" sqref="P2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Presupuesto!B37</f>
        <v>30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Presupuesto!C37</f>
        <v>510157M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Presupuesto!D37</f>
        <v>Acometida domiciliaria de alcantarillado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Presupuesto!E37</f>
        <v>u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/>
      <c r="B12" s="18"/>
      <c r="C12" s="19"/>
      <c r="D12" s="20"/>
      <c r="E12" s="21"/>
      <c r="F12" s="20"/>
      <c r="G12" s="21"/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v>0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19" t="s">
        <v>199</v>
      </c>
      <c r="B17" s="198" t="s">
        <v>200</v>
      </c>
      <c r="C17" s="19" t="s">
        <v>201</v>
      </c>
      <c r="D17" s="20">
        <v>1</v>
      </c>
      <c r="E17" s="21">
        <v>155</v>
      </c>
      <c r="F17" s="199"/>
      <c r="G17" s="21">
        <f>ROUND(D17*E17,2)</f>
        <v>155</v>
      </c>
    </row>
    <row r="18" spans="1:7" x14ac:dyDescent="0.25">
      <c r="A18" s="398" t="s">
        <v>25</v>
      </c>
      <c r="B18" s="398"/>
      <c r="C18" s="398"/>
      <c r="D18" s="398"/>
      <c r="E18" s="398"/>
      <c r="F18" s="398"/>
      <c r="G18" s="24">
        <f>G17</f>
        <v>155</v>
      </c>
    </row>
    <row r="19" spans="1:7" x14ac:dyDescent="0.25">
      <c r="A19" s="14"/>
      <c r="B19" s="15"/>
      <c r="C19" s="14"/>
      <c r="D19" s="16"/>
      <c r="E19" s="17"/>
      <c r="F19" s="16"/>
      <c r="G19" s="17"/>
    </row>
    <row r="20" spans="1:7" x14ac:dyDescent="0.25">
      <c r="A20" s="395" t="s">
        <v>26</v>
      </c>
      <c r="B20" s="396"/>
      <c r="C20" s="396"/>
      <c r="D20" s="396"/>
      <c r="E20" s="396"/>
      <c r="F20" s="396"/>
      <c r="G20" s="397"/>
    </row>
    <row r="21" spans="1:7" x14ac:dyDescent="0.25">
      <c r="A21" s="27" t="s">
        <v>18</v>
      </c>
      <c r="B21" s="27" t="s">
        <v>19</v>
      </c>
      <c r="C21" s="27" t="s">
        <v>3</v>
      </c>
      <c r="D21" s="27" t="s">
        <v>4</v>
      </c>
      <c r="E21" s="27" t="s">
        <v>27</v>
      </c>
      <c r="F21" s="27" t="s">
        <v>28</v>
      </c>
      <c r="G21" s="27" t="s">
        <v>22</v>
      </c>
    </row>
    <row r="22" spans="1:7" x14ac:dyDescent="0.25">
      <c r="A22" s="89"/>
      <c r="B22" s="242"/>
      <c r="C22" s="89"/>
      <c r="D22" s="90"/>
      <c r="E22" s="91"/>
      <c r="F22" s="243"/>
      <c r="G22" s="21"/>
    </row>
    <row r="23" spans="1:7" x14ac:dyDescent="0.25">
      <c r="A23" s="398" t="s">
        <v>29</v>
      </c>
      <c r="B23" s="423"/>
      <c r="C23" s="423"/>
      <c r="D23" s="423"/>
      <c r="E23" s="423"/>
      <c r="F23" s="423"/>
      <c r="G23" s="24">
        <v>0</v>
      </c>
    </row>
    <row r="24" spans="1:7" x14ac:dyDescent="0.25">
      <c r="A24" s="14"/>
      <c r="B24" s="15"/>
      <c r="C24" s="14"/>
      <c r="D24" s="16"/>
      <c r="E24" s="17"/>
      <c r="F24" s="16"/>
      <c r="G24" s="17"/>
    </row>
    <row r="25" spans="1:7" x14ac:dyDescent="0.25">
      <c r="A25" s="395" t="s">
        <v>30</v>
      </c>
      <c r="B25" s="396"/>
      <c r="C25" s="396"/>
      <c r="D25" s="396"/>
      <c r="E25" s="396"/>
      <c r="F25" s="396"/>
      <c r="G25" s="397"/>
    </row>
    <row r="26" spans="1:7" x14ac:dyDescent="0.25">
      <c r="A26" s="27" t="s">
        <v>18</v>
      </c>
      <c r="B26" s="27" t="s">
        <v>19</v>
      </c>
      <c r="C26" s="27"/>
      <c r="D26" s="27" t="s">
        <v>31</v>
      </c>
      <c r="E26" s="27" t="s">
        <v>32</v>
      </c>
      <c r="F26" s="27" t="s">
        <v>21</v>
      </c>
      <c r="G26" s="27" t="s">
        <v>22</v>
      </c>
    </row>
    <row r="27" spans="1:7" x14ac:dyDescent="0.25">
      <c r="A27" s="19"/>
      <c r="B27" s="198"/>
      <c r="C27" s="188"/>
      <c r="D27" s="20"/>
      <c r="E27" s="21"/>
      <c r="F27" s="20"/>
      <c r="G27" s="21"/>
    </row>
    <row r="28" spans="1:7" x14ac:dyDescent="0.25">
      <c r="A28" s="398" t="s">
        <v>33</v>
      </c>
      <c r="B28" s="398"/>
      <c r="C28" s="398"/>
      <c r="D28" s="398"/>
      <c r="E28" s="398"/>
      <c r="F28" s="398"/>
      <c r="G28" s="24">
        <v>0</v>
      </c>
    </row>
    <row r="29" spans="1:7" x14ac:dyDescent="0.25">
      <c r="A29" s="14"/>
      <c r="B29" s="15"/>
      <c r="C29" s="14"/>
      <c r="D29" s="16"/>
      <c r="E29" s="17"/>
      <c r="F29" s="16"/>
      <c r="G29" s="17"/>
    </row>
    <row r="30" spans="1:7" x14ac:dyDescent="0.25">
      <c r="A30" s="399" t="s">
        <v>34</v>
      </c>
      <c r="B30" s="400"/>
      <c r="C30" s="400"/>
      <c r="D30" s="400"/>
      <c r="E30" s="400"/>
      <c r="F30" s="400"/>
      <c r="G30" s="5">
        <f>G13+G18+G23+G28</f>
        <v>155</v>
      </c>
    </row>
    <row r="31" spans="1:7" x14ac:dyDescent="0.25">
      <c r="A31" s="28"/>
      <c r="B31" s="29"/>
      <c r="C31" s="29"/>
      <c r="D31" s="29"/>
      <c r="E31" s="29"/>
      <c r="F31" s="29"/>
      <c r="G31" s="5"/>
    </row>
    <row r="32" spans="1:7" x14ac:dyDescent="0.25">
      <c r="A32" s="401" t="s">
        <v>35</v>
      </c>
      <c r="B32" s="402"/>
      <c r="C32" s="402"/>
      <c r="D32" s="402"/>
      <c r="E32" s="402"/>
      <c r="F32" s="402"/>
      <c r="G32" s="403"/>
    </row>
    <row r="33" spans="1:7" x14ac:dyDescent="0.25">
      <c r="A33" s="399" t="s">
        <v>78</v>
      </c>
      <c r="B33" s="400"/>
      <c r="C33" s="400"/>
      <c r="D33" s="400"/>
      <c r="E33" s="400"/>
      <c r="F33" s="400"/>
      <c r="G33" s="5">
        <f>ROUND(0.21*G30,2)</f>
        <v>32.549999999999997</v>
      </c>
    </row>
    <row r="34" spans="1:7" x14ac:dyDescent="0.25">
      <c r="A34" s="14"/>
      <c r="B34" s="15"/>
      <c r="C34" s="14"/>
      <c r="D34" s="16"/>
      <c r="E34" s="17"/>
      <c r="F34" s="16"/>
      <c r="G34" s="17"/>
    </row>
    <row r="35" spans="1:7" x14ac:dyDescent="0.25">
      <c r="A35" s="391" t="s">
        <v>36</v>
      </c>
      <c r="B35" s="392"/>
      <c r="C35" s="392"/>
      <c r="D35" s="392"/>
      <c r="E35" s="392"/>
      <c r="F35" s="392"/>
      <c r="G35" s="200">
        <f>G30+G33</f>
        <v>187.55</v>
      </c>
    </row>
  </sheetData>
  <mergeCells count="19"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  <mergeCell ref="A35:F35"/>
    <mergeCell ref="A23:F23"/>
    <mergeCell ref="A25:G25"/>
    <mergeCell ref="A28:F28"/>
    <mergeCell ref="A30:F30"/>
    <mergeCell ref="A32:G32"/>
    <mergeCell ref="A33:F33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22" workbookViewId="0">
      <selection activeCell="P42" sqref="P42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Presupuesto!B38</f>
        <v>31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Presupuesto!C38</f>
        <v>514211M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Presupuesto!D38</f>
        <v>Acometida de agua potable de 1"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Presupuesto!E38</f>
        <v>u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/>
      <c r="B12" s="18"/>
      <c r="C12" s="19"/>
      <c r="D12" s="20"/>
      <c r="E12" s="21"/>
      <c r="F12" s="20"/>
      <c r="G12" s="21"/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/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/>
      <c r="B17" s="213" t="s">
        <v>285</v>
      </c>
      <c r="C17" s="201" t="s">
        <v>286</v>
      </c>
      <c r="D17" s="203">
        <v>1</v>
      </c>
      <c r="E17" s="204">
        <v>512</v>
      </c>
      <c r="F17" s="230"/>
      <c r="G17" s="204">
        <f>ROUND(D17*E17,2)</f>
        <v>512</v>
      </c>
    </row>
    <row r="18" spans="1:7" x14ac:dyDescent="0.25">
      <c r="A18" s="205"/>
      <c r="B18" s="214"/>
      <c r="C18" s="205"/>
      <c r="D18" s="207"/>
      <c r="E18" s="208"/>
      <c r="F18" s="231"/>
      <c r="G18" s="208"/>
    </row>
    <row r="19" spans="1:7" x14ac:dyDescent="0.25">
      <c r="A19" s="205"/>
      <c r="B19" s="214"/>
      <c r="C19" s="205"/>
      <c r="D19" s="207"/>
      <c r="E19" s="208"/>
      <c r="F19" s="231"/>
      <c r="G19" s="208"/>
    </row>
    <row r="20" spans="1:7" x14ac:dyDescent="0.25">
      <c r="A20" s="209"/>
      <c r="B20" s="216"/>
      <c r="C20" s="209"/>
      <c r="D20" s="211"/>
      <c r="E20" s="212"/>
      <c r="F20" s="232"/>
      <c r="G20" s="212"/>
    </row>
    <row r="21" spans="1:7" x14ac:dyDescent="0.25">
      <c r="A21" s="398" t="s">
        <v>25</v>
      </c>
      <c r="B21" s="398"/>
      <c r="C21" s="398"/>
      <c r="D21" s="398"/>
      <c r="E21" s="398"/>
      <c r="F21" s="398"/>
      <c r="G21" s="24">
        <f>SUM(G17:G20)</f>
        <v>512</v>
      </c>
    </row>
    <row r="22" spans="1:7" x14ac:dyDescent="0.25">
      <c r="A22" s="14"/>
      <c r="B22" s="15"/>
      <c r="C22" s="14"/>
      <c r="D22" s="16"/>
      <c r="E22" s="17"/>
      <c r="F22" s="16"/>
      <c r="G22" s="17"/>
    </row>
    <row r="23" spans="1:7" x14ac:dyDescent="0.25">
      <c r="A23" s="395" t="s">
        <v>26</v>
      </c>
      <c r="B23" s="396"/>
      <c r="C23" s="396"/>
      <c r="D23" s="396"/>
      <c r="E23" s="396"/>
      <c r="F23" s="396"/>
      <c r="G23" s="397"/>
    </row>
    <row r="24" spans="1:7" x14ac:dyDescent="0.25">
      <c r="A24" s="27" t="s">
        <v>18</v>
      </c>
      <c r="B24" s="27" t="s">
        <v>19</v>
      </c>
      <c r="C24" s="27" t="s">
        <v>3</v>
      </c>
      <c r="D24" s="27" t="s">
        <v>4</v>
      </c>
      <c r="E24" s="27" t="s">
        <v>27</v>
      </c>
      <c r="F24" s="27" t="s">
        <v>28</v>
      </c>
      <c r="G24" s="27" t="s">
        <v>22</v>
      </c>
    </row>
    <row r="25" spans="1:7" x14ac:dyDescent="0.25">
      <c r="A25" s="89"/>
      <c r="B25" s="242"/>
      <c r="C25" s="89"/>
      <c r="D25" s="90"/>
      <c r="E25" s="91"/>
      <c r="F25" s="243"/>
      <c r="G25" s="21"/>
    </row>
    <row r="26" spans="1:7" x14ac:dyDescent="0.25">
      <c r="A26" s="398" t="s">
        <v>29</v>
      </c>
      <c r="B26" s="423"/>
      <c r="C26" s="423"/>
      <c r="D26" s="423"/>
      <c r="E26" s="423"/>
      <c r="F26" s="423"/>
      <c r="G26" s="24"/>
    </row>
    <row r="27" spans="1:7" x14ac:dyDescent="0.25">
      <c r="A27" s="14"/>
      <c r="B27" s="15"/>
      <c r="C27" s="14"/>
      <c r="D27" s="16"/>
      <c r="E27" s="17"/>
      <c r="F27" s="16"/>
      <c r="G27" s="17"/>
    </row>
    <row r="28" spans="1:7" x14ac:dyDescent="0.25">
      <c r="A28" s="395" t="s">
        <v>30</v>
      </c>
      <c r="B28" s="396"/>
      <c r="C28" s="396"/>
      <c r="D28" s="396"/>
      <c r="E28" s="396"/>
      <c r="F28" s="396"/>
      <c r="G28" s="397"/>
    </row>
    <row r="29" spans="1:7" x14ac:dyDescent="0.25">
      <c r="A29" s="27" t="s">
        <v>18</v>
      </c>
      <c r="B29" s="27" t="s">
        <v>19</v>
      </c>
      <c r="C29" s="27"/>
      <c r="D29" s="27" t="s">
        <v>31</v>
      </c>
      <c r="E29" s="27" t="s">
        <v>32</v>
      </c>
      <c r="F29" s="27" t="s">
        <v>21</v>
      </c>
      <c r="G29" s="27" t="s">
        <v>22</v>
      </c>
    </row>
    <row r="30" spans="1:7" x14ac:dyDescent="0.25">
      <c r="A30" s="201"/>
      <c r="B30" s="213"/>
      <c r="C30" s="190"/>
      <c r="D30" s="203"/>
      <c r="E30" s="204"/>
      <c r="F30" s="203"/>
      <c r="G30" s="204"/>
    </row>
    <row r="31" spans="1:7" x14ac:dyDescent="0.25">
      <c r="A31" s="209"/>
      <c r="B31" s="216"/>
      <c r="C31" s="217"/>
      <c r="D31" s="211"/>
      <c r="E31" s="212"/>
      <c r="F31" s="211"/>
      <c r="G31" s="212"/>
    </row>
    <row r="32" spans="1:7" x14ac:dyDescent="0.25">
      <c r="A32" s="398" t="s">
        <v>33</v>
      </c>
      <c r="B32" s="398"/>
      <c r="C32" s="398"/>
      <c r="D32" s="398"/>
      <c r="E32" s="398"/>
      <c r="F32" s="398"/>
      <c r="G32" s="24"/>
    </row>
    <row r="33" spans="1:7" x14ac:dyDescent="0.25">
      <c r="A33" s="14"/>
      <c r="B33" s="15"/>
      <c r="C33" s="14"/>
      <c r="D33" s="16"/>
      <c r="E33" s="17"/>
      <c r="F33" s="16"/>
      <c r="G33" s="17"/>
    </row>
    <row r="34" spans="1:7" x14ac:dyDescent="0.25">
      <c r="A34" s="399" t="s">
        <v>34</v>
      </c>
      <c r="B34" s="400"/>
      <c r="C34" s="400"/>
      <c r="D34" s="400"/>
      <c r="E34" s="400"/>
      <c r="F34" s="400"/>
      <c r="G34" s="5">
        <f>G21</f>
        <v>512</v>
      </c>
    </row>
    <row r="35" spans="1:7" x14ac:dyDescent="0.25">
      <c r="A35" s="28"/>
      <c r="B35" s="29"/>
      <c r="C35" s="29"/>
      <c r="D35" s="29"/>
      <c r="E35" s="29"/>
      <c r="F35" s="29"/>
      <c r="G35" s="5"/>
    </row>
    <row r="36" spans="1:7" x14ac:dyDescent="0.25">
      <c r="A36" s="401" t="s">
        <v>35</v>
      </c>
      <c r="B36" s="402"/>
      <c r="C36" s="402"/>
      <c r="D36" s="402"/>
      <c r="E36" s="402"/>
      <c r="F36" s="402"/>
      <c r="G36" s="403"/>
    </row>
    <row r="37" spans="1:7" x14ac:dyDescent="0.25">
      <c r="A37" s="399" t="s">
        <v>78</v>
      </c>
      <c r="B37" s="400"/>
      <c r="C37" s="400"/>
      <c r="D37" s="400"/>
      <c r="E37" s="400"/>
      <c r="F37" s="400"/>
      <c r="G37" s="5">
        <f>ROUND(0.21*G34,2)</f>
        <v>107.52</v>
      </c>
    </row>
    <row r="38" spans="1:7" x14ac:dyDescent="0.25">
      <c r="A38" s="14"/>
      <c r="B38" s="15"/>
      <c r="C38" s="14"/>
      <c r="D38" s="16"/>
      <c r="E38" s="17"/>
      <c r="F38" s="16"/>
      <c r="G38" s="17"/>
    </row>
    <row r="39" spans="1:7" x14ac:dyDescent="0.25">
      <c r="A39" s="391" t="s">
        <v>36</v>
      </c>
      <c r="B39" s="392"/>
      <c r="C39" s="392"/>
      <c r="D39" s="392"/>
      <c r="E39" s="392"/>
      <c r="F39" s="392"/>
      <c r="G39" s="200">
        <f>G34+G37</f>
        <v>619.52</v>
      </c>
    </row>
  </sheetData>
  <mergeCells count="19">
    <mergeCell ref="A23:G23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1:F21"/>
    <mergeCell ref="A39:F39"/>
    <mergeCell ref="A26:F26"/>
    <mergeCell ref="A28:G28"/>
    <mergeCell ref="A32:F32"/>
    <mergeCell ref="A34:F34"/>
    <mergeCell ref="A36:G36"/>
    <mergeCell ref="A37:F37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O21" sqref="O21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Presupuesto!B39</f>
        <v>32</v>
      </c>
      <c r="C3" s="8"/>
      <c r="D3" s="8"/>
      <c r="E3" s="7"/>
      <c r="F3" s="9"/>
      <c r="G3" s="9"/>
    </row>
    <row r="4" spans="1:7" x14ac:dyDescent="0.25">
      <c r="A4" s="7" t="s">
        <v>13</v>
      </c>
      <c r="B4" s="407" t="str">
        <f>Presupuesto!C39</f>
        <v>501365M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Presupuesto!D39</f>
        <v>Tubo galv. cuadrado a=1 1/2"x 2 mm.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Presupuesto!E39</f>
        <v>m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201" t="s">
        <v>202</v>
      </c>
      <c r="B12" s="202" t="s">
        <v>203</v>
      </c>
      <c r="C12" s="201" t="s">
        <v>85</v>
      </c>
      <c r="D12" s="203">
        <v>1</v>
      </c>
      <c r="E12" s="204">
        <v>2</v>
      </c>
      <c r="F12" s="203">
        <v>0.25</v>
      </c>
      <c r="G12" s="204">
        <f>ROUND(D12*E12*F12,2)</f>
        <v>0.5</v>
      </c>
    </row>
    <row r="13" spans="1:7" x14ac:dyDescent="0.25">
      <c r="A13" s="209" t="s">
        <v>79</v>
      </c>
      <c r="B13" s="210" t="s">
        <v>80</v>
      </c>
      <c r="C13" s="209" t="s">
        <v>81</v>
      </c>
      <c r="D13" s="211" t="s">
        <v>106</v>
      </c>
      <c r="E13" s="212"/>
      <c r="F13" s="211"/>
      <c r="G13" s="212">
        <f>ROUND(0.05*G31,2)</f>
        <v>0.09</v>
      </c>
    </row>
    <row r="14" spans="1:7" x14ac:dyDescent="0.25">
      <c r="A14" s="398" t="s">
        <v>23</v>
      </c>
      <c r="B14" s="398"/>
      <c r="C14" s="398"/>
      <c r="D14" s="398"/>
      <c r="E14" s="398"/>
      <c r="F14" s="398"/>
      <c r="G14" s="24">
        <f>SUM(G12:G13)</f>
        <v>0.59</v>
      </c>
    </row>
    <row r="15" spans="1:7" x14ac:dyDescent="0.25">
      <c r="A15" s="14"/>
      <c r="B15" s="15"/>
      <c r="C15" s="14"/>
      <c r="D15" s="16"/>
      <c r="E15" s="17"/>
      <c r="F15" s="16"/>
      <c r="G15" s="17"/>
    </row>
    <row r="16" spans="1:7" x14ac:dyDescent="0.25">
      <c r="A16" s="395" t="s">
        <v>24</v>
      </c>
      <c r="B16" s="396"/>
      <c r="C16" s="396"/>
      <c r="D16" s="396"/>
      <c r="E16" s="396"/>
      <c r="F16" s="396"/>
      <c r="G16" s="397"/>
    </row>
    <row r="17" spans="1:7" x14ac:dyDescent="0.25">
      <c r="A17" s="27" t="s">
        <v>18</v>
      </c>
      <c r="B17" s="27" t="s">
        <v>19</v>
      </c>
      <c r="C17" s="27" t="s">
        <v>3</v>
      </c>
      <c r="D17" s="197" t="s">
        <v>4</v>
      </c>
      <c r="E17" s="189" t="s">
        <v>20</v>
      </c>
      <c r="F17" s="26"/>
      <c r="G17" s="189" t="s">
        <v>22</v>
      </c>
    </row>
    <row r="18" spans="1:7" x14ac:dyDescent="0.25">
      <c r="A18" s="201" t="s">
        <v>204</v>
      </c>
      <c r="B18" s="213" t="s">
        <v>205</v>
      </c>
      <c r="C18" s="201" t="s">
        <v>50</v>
      </c>
      <c r="D18" s="203">
        <v>1</v>
      </c>
      <c r="E18" s="204">
        <v>2.85</v>
      </c>
      <c r="F18" s="230"/>
      <c r="G18" s="204">
        <f>ROUND(D18*E18,2)</f>
        <v>2.85</v>
      </c>
    </row>
    <row r="19" spans="1:7" x14ac:dyDescent="0.25">
      <c r="A19" s="209" t="s">
        <v>125</v>
      </c>
      <c r="B19" s="216" t="s">
        <v>126</v>
      </c>
      <c r="C19" s="209" t="s">
        <v>124</v>
      </c>
      <c r="D19" s="211">
        <v>0.01</v>
      </c>
      <c r="E19" s="212">
        <v>2</v>
      </c>
      <c r="F19" s="232"/>
      <c r="G19" s="212">
        <f>ROUND(D19*E19,2)</f>
        <v>0.02</v>
      </c>
    </row>
    <row r="20" spans="1:7" x14ac:dyDescent="0.25">
      <c r="A20" s="398" t="s">
        <v>25</v>
      </c>
      <c r="B20" s="398"/>
      <c r="C20" s="398"/>
      <c r="D20" s="398"/>
      <c r="E20" s="398"/>
      <c r="F20" s="398"/>
      <c r="G20" s="24">
        <f>SUM(G18:G19)</f>
        <v>2.87</v>
      </c>
    </row>
    <row r="21" spans="1:7" x14ac:dyDescent="0.25">
      <c r="A21" s="14"/>
      <c r="B21" s="15"/>
      <c r="C21" s="14"/>
      <c r="D21" s="16"/>
      <c r="E21" s="17"/>
      <c r="F21" s="16"/>
      <c r="G21" s="17"/>
    </row>
    <row r="22" spans="1:7" x14ac:dyDescent="0.25">
      <c r="A22" s="395" t="s">
        <v>26</v>
      </c>
      <c r="B22" s="396"/>
      <c r="C22" s="396"/>
      <c r="D22" s="396"/>
      <c r="E22" s="396"/>
      <c r="F22" s="396"/>
      <c r="G22" s="397"/>
    </row>
    <row r="23" spans="1:7" x14ac:dyDescent="0.25">
      <c r="A23" s="27" t="s">
        <v>18</v>
      </c>
      <c r="B23" s="27" t="s">
        <v>19</v>
      </c>
      <c r="C23" s="27" t="s">
        <v>3</v>
      </c>
      <c r="D23" s="27" t="s">
        <v>4</v>
      </c>
      <c r="E23" s="27" t="s">
        <v>27</v>
      </c>
      <c r="F23" s="27" t="s">
        <v>28</v>
      </c>
      <c r="G23" s="27" t="s">
        <v>22</v>
      </c>
    </row>
    <row r="24" spans="1:7" x14ac:dyDescent="0.25">
      <c r="A24" s="89"/>
      <c r="B24" s="242"/>
      <c r="C24" s="89"/>
      <c r="D24" s="90"/>
      <c r="E24" s="91"/>
      <c r="F24" s="243"/>
      <c r="G24" s="21"/>
    </row>
    <row r="25" spans="1:7" x14ac:dyDescent="0.25">
      <c r="A25" s="398" t="s">
        <v>29</v>
      </c>
      <c r="B25" s="423"/>
      <c r="C25" s="423"/>
      <c r="D25" s="423"/>
      <c r="E25" s="423"/>
      <c r="F25" s="423"/>
      <c r="G25" s="24">
        <v>0</v>
      </c>
    </row>
    <row r="26" spans="1:7" x14ac:dyDescent="0.25">
      <c r="A26" s="14"/>
      <c r="B26" s="15"/>
      <c r="C26" s="14"/>
      <c r="D26" s="16"/>
      <c r="E26" s="17"/>
      <c r="F26" s="16"/>
      <c r="G26" s="17"/>
    </row>
    <row r="27" spans="1:7" x14ac:dyDescent="0.25">
      <c r="A27" s="395" t="s">
        <v>30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/>
      <c r="D28" s="27" t="s">
        <v>31</v>
      </c>
      <c r="E28" s="27" t="s">
        <v>32</v>
      </c>
      <c r="F28" s="27" t="s">
        <v>21</v>
      </c>
      <c r="G28" s="27" t="s">
        <v>22</v>
      </c>
    </row>
    <row r="29" spans="1:7" x14ac:dyDescent="0.25">
      <c r="A29" s="201" t="s">
        <v>74</v>
      </c>
      <c r="B29" s="213" t="s">
        <v>75</v>
      </c>
      <c r="C29" s="190"/>
      <c r="D29" s="203">
        <v>1</v>
      </c>
      <c r="E29" s="204">
        <v>3.41</v>
      </c>
      <c r="F29" s="203">
        <v>0.25</v>
      </c>
      <c r="G29" s="204">
        <f>ROUND(D29*E29*F29,2)</f>
        <v>0.85</v>
      </c>
    </row>
    <row r="30" spans="1:7" x14ac:dyDescent="0.25">
      <c r="A30" s="209" t="s">
        <v>76</v>
      </c>
      <c r="B30" s="216" t="s">
        <v>77</v>
      </c>
      <c r="C30" s="217"/>
      <c r="D30" s="211">
        <v>1</v>
      </c>
      <c r="E30" s="212">
        <v>3.45</v>
      </c>
      <c r="F30" s="211">
        <v>0.25</v>
      </c>
      <c r="G30" s="212">
        <f>ROUND(D30*E30*F30,2)</f>
        <v>0.86</v>
      </c>
    </row>
    <row r="31" spans="1:7" x14ac:dyDescent="0.25">
      <c r="A31" s="398" t="s">
        <v>33</v>
      </c>
      <c r="B31" s="398"/>
      <c r="C31" s="398"/>
      <c r="D31" s="398"/>
      <c r="E31" s="398"/>
      <c r="F31" s="398"/>
      <c r="G31" s="24">
        <f>SUM(G29:G30)</f>
        <v>1.71</v>
      </c>
    </row>
    <row r="32" spans="1:7" x14ac:dyDescent="0.25">
      <c r="A32" s="14"/>
      <c r="B32" s="15"/>
      <c r="C32" s="14"/>
      <c r="D32" s="16"/>
      <c r="E32" s="17"/>
      <c r="F32" s="16"/>
      <c r="G32" s="17"/>
    </row>
    <row r="33" spans="1:7" x14ac:dyDescent="0.25">
      <c r="A33" s="399" t="s">
        <v>34</v>
      </c>
      <c r="B33" s="400"/>
      <c r="C33" s="400"/>
      <c r="D33" s="400"/>
      <c r="E33" s="400"/>
      <c r="F33" s="400"/>
      <c r="G33" s="5">
        <f>G14+G20+G25+G31</f>
        <v>5.17</v>
      </c>
    </row>
    <row r="34" spans="1:7" x14ac:dyDescent="0.25">
      <c r="A34" s="28"/>
      <c r="B34" s="29"/>
      <c r="C34" s="29"/>
      <c r="D34" s="29"/>
      <c r="E34" s="29"/>
      <c r="F34" s="29"/>
      <c r="G34" s="5"/>
    </row>
    <row r="35" spans="1:7" x14ac:dyDescent="0.25">
      <c r="A35" s="401" t="s">
        <v>35</v>
      </c>
      <c r="B35" s="402"/>
      <c r="C35" s="402"/>
      <c r="D35" s="402"/>
      <c r="E35" s="402"/>
      <c r="F35" s="402"/>
      <c r="G35" s="403"/>
    </row>
    <row r="36" spans="1:7" x14ac:dyDescent="0.25">
      <c r="A36" s="399" t="s">
        <v>78</v>
      </c>
      <c r="B36" s="400"/>
      <c r="C36" s="400"/>
      <c r="D36" s="400"/>
      <c r="E36" s="400"/>
      <c r="F36" s="400"/>
      <c r="G36" s="5">
        <f>ROUND(0.21*G33,2)</f>
        <v>1.0900000000000001</v>
      </c>
    </row>
    <row r="37" spans="1:7" x14ac:dyDescent="0.25">
      <c r="A37" s="14"/>
      <c r="B37" s="15"/>
      <c r="C37" s="14"/>
      <c r="D37" s="16"/>
      <c r="E37" s="17"/>
      <c r="F37" s="16"/>
      <c r="G37" s="17"/>
    </row>
    <row r="38" spans="1:7" x14ac:dyDescent="0.25">
      <c r="A38" s="391" t="s">
        <v>36</v>
      </c>
      <c r="B38" s="392"/>
      <c r="C38" s="392"/>
      <c r="D38" s="392"/>
      <c r="E38" s="392"/>
      <c r="F38" s="392"/>
      <c r="G38" s="200">
        <f>G33+G36</f>
        <v>6.26</v>
      </c>
    </row>
  </sheetData>
  <mergeCells count="19">
    <mergeCell ref="A22:G22"/>
    <mergeCell ref="A1:F1"/>
    <mergeCell ref="B2:D2"/>
    <mergeCell ref="F2:G2"/>
    <mergeCell ref="B4:G4"/>
    <mergeCell ref="B5:G5"/>
    <mergeCell ref="B6:G6"/>
    <mergeCell ref="A8:G8"/>
    <mergeCell ref="A10:G10"/>
    <mergeCell ref="A14:F14"/>
    <mergeCell ref="A16:G16"/>
    <mergeCell ref="A20:F20"/>
    <mergeCell ref="A38:F38"/>
    <mergeCell ref="A25:F25"/>
    <mergeCell ref="A27:G27"/>
    <mergeCell ref="A31:F31"/>
    <mergeCell ref="A33:F33"/>
    <mergeCell ref="A35:G35"/>
    <mergeCell ref="A36:F36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K20" sqref="K20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94">
        <f>Presupuesto!B40</f>
        <v>33</v>
      </c>
      <c r="C3" s="92"/>
      <c r="D3" s="92"/>
      <c r="E3" s="37"/>
      <c r="F3" s="93"/>
      <c r="G3" s="93"/>
    </row>
    <row r="4" spans="1:7" x14ac:dyDescent="0.25">
      <c r="A4" s="37" t="s">
        <v>13</v>
      </c>
      <c r="B4" s="414" t="str">
        <f>Presupuesto!C40</f>
        <v>513268M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Presupuesto!D40</f>
        <v>Fregadero de 1 pozo sin faldón (poceta)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Presupuesto!E40</f>
        <v>u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 t="s">
        <v>79</v>
      </c>
      <c r="B12" s="49" t="s">
        <v>80</v>
      </c>
      <c r="C12" s="50" t="s">
        <v>81</v>
      </c>
      <c r="D12" s="51" t="s">
        <v>106</v>
      </c>
      <c r="E12" s="52"/>
      <c r="F12" s="51"/>
      <c r="G12" s="52">
        <f>ROUND(0.05*G31,2)</f>
        <v>0.69</v>
      </c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f>G12</f>
        <v>0.69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x14ac:dyDescent="0.25">
      <c r="A17" s="167" t="s">
        <v>149</v>
      </c>
      <c r="B17" s="175" t="s">
        <v>150</v>
      </c>
      <c r="C17" s="167" t="s">
        <v>48</v>
      </c>
      <c r="D17" s="169">
        <v>0.25</v>
      </c>
      <c r="E17" s="170">
        <v>0.3</v>
      </c>
      <c r="F17" s="176"/>
      <c r="G17" s="170">
        <f>ROUND(D17*E17,2)</f>
        <v>0.08</v>
      </c>
    </row>
    <row r="18" spans="1:7" x14ac:dyDescent="0.25">
      <c r="A18" s="177" t="s">
        <v>206</v>
      </c>
      <c r="B18" s="178" t="s">
        <v>207</v>
      </c>
      <c r="C18" s="177" t="s">
        <v>124</v>
      </c>
      <c r="D18" s="179">
        <v>0.25</v>
      </c>
      <c r="E18" s="180">
        <v>0.2</v>
      </c>
      <c r="F18" s="181"/>
      <c r="G18" s="180">
        <f t="shared" ref="G18:G19" si="0">ROUND(D18*E18,2)</f>
        <v>0.05</v>
      </c>
    </row>
    <row r="19" spans="1:7" x14ac:dyDescent="0.25">
      <c r="A19" s="171" t="s">
        <v>288</v>
      </c>
      <c r="B19" s="182" t="s">
        <v>289</v>
      </c>
      <c r="C19" s="171" t="s">
        <v>48</v>
      </c>
      <c r="D19" s="173">
        <v>1</v>
      </c>
      <c r="E19" s="174">
        <v>20.52</v>
      </c>
      <c r="F19" s="183"/>
      <c r="G19" s="174">
        <f t="shared" si="0"/>
        <v>20.52</v>
      </c>
    </row>
    <row r="20" spans="1:7" x14ac:dyDescent="0.25">
      <c r="A20" s="378" t="s">
        <v>25</v>
      </c>
      <c r="B20" s="378"/>
      <c r="C20" s="378"/>
      <c r="D20" s="378"/>
      <c r="E20" s="378"/>
      <c r="F20" s="378"/>
      <c r="G20" s="56">
        <f>SUM(G17:G19)</f>
        <v>20.65</v>
      </c>
    </row>
    <row r="21" spans="1:7" x14ac:dyDescent="0.25">
      <c r="A21" s="45"/>
      <c r="B21" s="46"/>
      <c r="C21" s="45"/>
      <c r="D21" s="47"/>
      <c r="E21" s="48"/>
      <c r="F21" s="47"/>
      <c r="G21" s="48"/>
    </row>
    <row r="22" spans="1:7" x14ac:dyDescent="0.25">
      <c r="A22" s="380" t="s">
        <v>26</v>
      </c>
      <c r="B22" s="381"/>
      <c r="C22" s="381"/>
      <c r="D22" s="381"/>
      <c r="E22" s="381"/>
      <c r="F22" s="381"/>
      <c r="G22" s="382"/>
    </row>
    <row r="23" spans="1:7" x14ac:dyDescent="0.25">
      <c r="A23" s="72" t="s">
        <v>18</v>
      </c>
      <c r="B23" s="72" t="s">
        <v>19</v>
      </c>
      <c r="C23" s="72" t="s">
        <v>3</v>
      </c>
      <c r="D23" s="72" t="s">
        <v>4</v>
      </c>
      <c r="E23" s="72" t="s">
        <v>27</v>
      </c>
      <c r="F23" s="72" t="s">
        <v>28</v>
      </c>
      <c r="G23" s="72" t="s">
        <v>22</v>
      </c>
    </row>
    <row r="24" spans="1:7" x14ac:dyDescent="0.25">
      <c r="A24" s="160"/>
      <c r="B24" s="161"/>
      <c r="C24" s="160"/>
      <c r="D24" s="162"/>
      <c r="E24" s="163"/>
      <c r="F24" s="131"/>
      <c r="G24" s="52"/>
    </row>
    <row r="25" spans="1:7" x14ac:dyDescent="0.25">
      <c r="A25" s="378" t="s">
        <v>29</v>
      </c>
      <c r="B25" s="379"/>
      <c r="C25" s="379"/>
      <c r="D25" s="379"/>
      <c r="E25" s="379"/>
      <c r="F25" s="379"/>
      <c r="G25" s="56">
        <v>0</v>
      </c>
    </row>
    <row r="26" spans="1:7" x14ac:dyDescent="0.25">
      <c r="A26" s="45"/>
      <c r="B26" s="46"/>
      <c r="C26" s="45"/>
      <c r="D26" s="47"/>
      <c r="E26" s="48"/>
      <c r="F26" s="47"/>
      <c r="G26" s="48"/>
    </row>
    <row r="27" spans="1:7" x14ac:dyDescent="0.25">
      <c r="A27" s="380" t="s">
        <v>30</v>
      </c>
      <c r="B27" s="381"/>
      <c r="C27" s="381"/>
      <c r="D27" s="381"/>
      <c r="E27" s="381"/>
      <c r="F27" s="381"/>
      <c r="G27" s="382"/>
    </row>
    <row r="28" spans="1:7" x14ac:dyDescent="0.25">
      <c r="A28" s="72" t="s">
        <v>18</v>
      </c>
      <c r="B28" s="72" t="s">
        <v>19</v>
      </c>
      <c r="C28" s="72"/>
      <c r="D28" s="72" t="s">
        <v>31</v>
      </c>
      <c r="E28" s="72" t="s">
        <v>32</v>
      </c>
      <c r="F28" s="72" t="s">
        <v>21</v>
      </c>
      <c r="G28" s="72" t="s">
        <v>22</v>
      </c>
    </row>
    <row r="29" spans="1:7" x14ac:dyDescent="0.25">
      <c r="A29" s="167" t="s">
        <v>74</v>
      </c>
      <c r="B29" s="175" t="s">
        <v>75</v>
      </c>
      <c r="C29" s="184"/>
      <c r="D29" s="169">
        <v>1</v>
      </c>
      <c r="E29" s="170">
        <v>3.41</v>
      </c>
      <c r="F29" s="169">
        <v>2</v>
      </c>
      <c r="G29" s="170">
        <f>ROUND(D29*E29*F29,2)</f>
        <v>6.82</v>
      </c>
    </row>
    <row r="30" spans="1:7" x14ac:dyDescent="0.25">
      <c r="A30" s="171" t="s">
        <v>76</v>
      </c>
      <c r="B30" s="182" t="s">
        <v>77</v>
      </c>
      <c r="C30" s="186"/>
      <c r="D30" s="173">
        <v>1</v>
      </c>
      <c r="E30" s="174">
        <v>3.45</v>
      </c>
      <c r="F30" s="173">
        <v>2</v>
      </c>
      <c r="G30" s="174">
        <f>ROUND(D30*E30*F30,2)</f>
        <v>6.9</v>
      </c>
    </row>
    <row r="31" spans="1:7" x14ac:dyDescent="0.25">
      <c r="A31" s="378" t="s">
        <v>33</v>
      </c>
      <c r="B31" s="378"/>
      <c r="C31" s="378"/>
      <c r="D31" s="378"/>
      <c r="E31" s="378"/>
      <c r="F31" s="378"/>
      <c r="G31" s="56">
        <f>SUM(G29:G30)</f>
        <v>13.72</v>
      </c>
    </row>
    <row r="32" spans="1:7" x14ac:dyDescent="0.25">
      <c r="A32" s="45"/>
      <c r="B32" s="46"/>
      <c r="C32" s="45"/>
      <c r="D32" s="47"/>
      <c r="E32" s="48"/>
      <c r="F32" s="47"/>
      <c r="G32" s="48"/>
    </row>
    <row r="33" spans="1:7" x14ac:dyDescent="0.25">
      <c r="A33" s="383" t="s">
        <v>34</v>
      </c>
      <c r="B33" s="384"/>
      <c r="C33" s="384"/>
      <c r="D33" s="384"/>
      <c r="E33" s="384"/>
      <c r="F33" s="384"/>
      <c r="G33" s="58">
        <f>+G31+G25+G20+G13</f>
        <v>35.059999999999995</v>
      </c>
    </row>
    <row r="34" spans="1:7" x14ac:dyDescent="0.25">
      <c r="A34" s="95"/>
      <c r="B34" s="96"/>
      <c r="C34" s="96"/>
      <c r="D34" s="96"/>
      <c r="E34" s="96"/>
      <c r="F34" s="96"/>
      <c r="G34" s="58"/>
    </row>
    <row r="35" spans="1:7" x14ac:dyDescent="0.25">
      <c r="A35" s="385" t="s">
        <v>35</v>
      </c>
      <c r="B35" s="386"/>
      <c r="C35" s="386"/>
      <c r="D35" s="386"/>
      <c r="E35" s="386"/>
      <c r="F35" s="386"/>
      <c r="G35" s="387"/>
    </row>
    <row r="36" spans="1:7" x14ac:dyDescent="0.25">
      <c r="A36" s="383" t="s">
        <v>78</v>
      </c>
      <c r="B36" s="384"/>
      <c r="C36" s="384"/>
      <c r="D36" s="384"/>
      <c r="E36" s="384"/>
      <c r="F36" s="384"/>
      <c r="G36" s="58">
        <f>ROUND(0.21*G33,2)</f>
        <v>7.36</v>
      </c>
    </row>
    <row r="37" spans="1:7" x14ac:dyDescent="0.25">
      <c r="A37" s="45"/>
      <c r="B37" s="46"/>
      <c r="C37" s="45"/>
      <c r="D37" s="47"/>
      <c r="E37" s="48"/>
      <c r="F37" s="47"/>
      <c r="G37" s="48"/>
    </row>
    <row r="38" spans="1:7" x14ac:dyDescent="0.25">
      <c r="A38" s="376" t="s">
        <v>36</v>
      </c>
      <c r="B38" s="377"/>
      <c r="C38" s="377"/>
      <c r="D38" s="377"/>
      <c r="E38" s="377"/>
      <c r="F38" s="377"/>
      <c r="G38" s="166">
        <f>G33+G36</f>
        <v>42.419999999999995</v>
      </c>
    </row>
  </sheetData>
  <mergeCells count="19">
    <mergeCell ref="A38:F38"/>
    <mergeCell ref="A25:F25"/>
    <mergeCell ref="A27:G27"/>
    <mergeCell ref="A31:F31"/>
    <mergeCell ref="A33:F33"/>
    <mergeCell ref="A35:G35"/>
    <mergeCell ref="A36:F36"/>
    <mergeCell ref="A22:G22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0:F20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K20" sqref="K20"/>
    </sheetView>
  </sheetViews>
  <sheetFormatPr baseColWidth="10" defaultRowHeight="13.2" x14ac:dyDescent="0.25"/>
  <cols>
    <col min="1" max="1" width="9.6640625" customWidth="1"/>
    <col min="2" max="2" width="22.88671875" customWidth="1"/>
    <col min="257" max="257" width="9.6640625" customWidth="1"/>
    <col min="258" max="258" width="22.88671875" customWidth="1"/>
    <col min="513" max="513" width="9.6640625" customWidth="1"/>
    <col min="514" max="514" width="22.88671875" customWidth="1"/>
    <col min="769" max="769" width="9.6640625" customWidth="1"/>
    <col min="770" max="770" width="22.88671875" customWidth="1"/>
    <col min="1025" max="1025" width="9.6640625" customWidth="1"/>
    <col min="1026" max="1026" width="22.88671875" customWidth="1"/>
    <col min="1281" max="1281" width="9.6640625" customWidth="1"/>
    <col min="1282" max="1282" width="22.88671875" customWidth="1"/>
    <col min="1537" max="1537" width="9.6640625" customWidth="1"/>
    <col min="1538" max="1538" width="22.88671875" customWidth="1"/>
    <col min="1793" max="1793" width="9.6640625" customWidth="1"/>
    <col min="1794" max="1794" width="22.88671875" customWidth="1"/>
    <col min="2049" max="2049" width="9.6640625" customWidth="1"/>
    <col min="2050" max="2050" width="22.88671875" customWidth="1"/>
    <col min="2305" max="2305" width="9.6640625" customWidth="1"/>
    <col min="2306" max="2306" width="22.88671875" customWidth="1"/>
    <col min="2561" max="2561" width="9.6640625" customWidth="1"/>
    <col min="2562" max="2562" width="22.88671875" customWidth="1"/>
    <col min="2817" max="2817" width="9.6640625" customWidth="1"/>
    <col min="2818" max="2818" width="22.88671875" customWidth="1"/>
    <col min="3073" max="3073" width="9.6640625" customWidth="1"/>
    <col min="3074" max="3074" width="22.88671875" customWidth="1"/>
    <col min="3329" max="3329" width="9.6640625" customWidth="1"/>
    <col min="3330" max="3330" width="22.88671875" customWidth="1"/>
    <col min="3585" max="3585" width="9.6640625" customWidth="1"/>
    <col min="3586" max="3586" width="22.88671875" customWidth="1"/>
    <col min="3841" max="3841" width="9.6640625" customWidth="1"/>
    <col min="3842" max="3842" width="22.88671875" customWidth="1"/>
    <col min="4097" max="4097" width="9.6640625" customWidth="1"/>
    <col min="4098" max="4098" width="22.88671875" customWidth="1"/>
    <col min="4353" max="4353" width="9.6640625" customWidth="1"/>
    <col min="4354" max="4354" width="22.88671875" customWidth="1"/>
    <col min="4609" max="4609" width="9.6640625" customWidth="1"/>
    <col min="4610" max="4610" width="22.88671875" customWidth="1"/>
    <col min="4865" max="4865" width="9.6640625" customWidth="1"/>
    <col min="4866" max="4866" width="22.88671875" customWidth="1"/>
    <col min="5121" max="5121" width="9.6640625" customWidth="1"/>
    <col min="5122" max="5122" width="22.88671875" customWidth="1"/>
    <col min="5377" max="5377" width="9.6640625" customWidth="1"/>
    <col min="5378" max="5378" width="22.88671875" customWidth="1"/>
    <col min="5633" max="5633" width="9.6640625" customWidth="1"/>
    <col min="5634" max="5634" width="22.88671875" customWidth="1"/>
    <col min="5889" max="5889" width="9.6640625" customWidth="1"/>
    <col min="5890" max="5890" width="22.88671875" customWidth="1"/>
    <col min="6145" max="6145" width="9.6640625" customWidth="1"/>
    <col min="6146" max="6146" width="22.88671875" customWidth="1"/>
    <col min="6401" max="6401" width="9.6640625" customWidth="1"/>
    <col min="6402" max="6402" width="22.88671875" customWidth="1"/>
    <col min="6657" max="6657" width="9.6640625" customWidth="1"/>
    <col min="6658" max="6658" width="22.88671875" customWidth="1"/>
    <col min="6913" max="6913" width="9.6640625" customWidth="1"/>
    <col min="6914" max="6914" width="22.88671875" customWidth="1"/>
    <col min="7169" max="7169" width="9.6640625" customWidth="1"/>
    <col min="7170" max="7170" width="22.88671875" customWidth="1"/>
    <col min="7425" max="7425" width="9.6640625" customWidth="1"/>
    <col min="7426" max="7426" width="22.88671875" customWidth="1"/>
    <col min="7681" max="7681" width="9.6640625" customWidth="1"/>
    <col min="7682" max="7682" width="22.88671875" customWidth="1"/>
    <col min="7937" max="7937" width="9.6640625" customWidth="1"/>
    <col min="7938" max="7938" width="22.88671875" customWidth="1"/>
    <col min="8193" max="8193" width="9.6640625" customWidth="1"/>
    <col min="8194" max="8194" width="22.88671875" customWidth="1"/>
    <col min="8449" max="8449" width="9.6640625" customWidth="1"/>
    <col min="8450" max="8450" width="22.88671875" customWidth="1"/>
    <col min="8705" max="8705" width="9.6640625" customWidth="1"/>
    <col min="8706" max="8706" width="22.88671875" customWidth="1"/>
    <col min="8961" max="8961" width="9.6640625" customWidth="1"/>
    <col min="8962" max="8962" width="22.88671875" customWidth="1"/>
    <col min="9217" max="9217" width="9.6640625" customWidth="1"/>
    <col min="9218" max="9218" width="22.88671875" customWidth="1"/>
    <col min="9473" max="9473" width="9.6640625" customWidth="1"/>
    <col min="9474" max="9474" width="22.88671875" customWidth="1"/>
    <col min="9729" max="9729" width="9.6640625" customWidth="1"/>
    <col min="9730" max="9730" width="22.88671875" customWidth="1"/>
    <col min="9985" max="9985" width="9.6640625" customWidth="1"/>
    <col min="9986" max="9986" width="22.88671875" customWidth="1"/>
    <col min="10241" max="10241" width="9.6640625" customWidth="1"/>
    <col min="10242" max="10242" width="22.88671875" customWidth="1"/>
    <col min="10497" max="10497" width="9.6640625" customWidth="1"/>
    <col min="10498" max="10498" width="22.88671875" customWidth="1"/>
    <col min="10753" max="10753" width="9.6640625" customWidth="1"/>
    <col min="10754" max="10754" width="22.88671875" customWidth="1"/>
    <col min="11009" max="11009" width="9.6640625" customWidth="1"/>
    <col min="11010" max="11010" width="22.88671875" customWidth="1"/>
    <col min="11265" max="11265" width="9.6640625" customWidth="1"/>
    <col min="11266" max="11266" width="22.88671875" customWidth="1"/>
    <col min="11521" max="11521" width="9.6640625" customWidth="1"/>
    <col min="11522" max="11522" width="22.88671875" customWidth="1"/>
    <col min="11777" max="11777" width="9.6640625" customWidth="1"/>
    <col min="11778" max="11778" width="22.88671875" customWidth="1"/>
    <col min="12033" max="12033" width="9.6640625" customWidth="1"/>
    <col min="12034" max="12034" width="22.88671875" customWidth="1"/>
    <col min="12289" max="12289" width="9.6640625" customWidth="1"/>
    <col min="12290" max="12290" width="22.88671875" customWidth="1"/>
    <col min="12545" max="12545" width="9.6640625" customWidth="1"/>
    <col min="12546" max="12546" width="22.88671875" customWidth="1"/>
    <col min="12801" max="12801" width="9.6640625" customWidth="1"/>
    <col min="12802" max="12802" width="22.88671875" customWidth="1"/>
    <col min="13057" max="13057" width="9.6640625" customWidth="1"/>
    <col min="13058" max="13058" width="22.88671875" customWidth="1"/>
    <col min="13313" max="13313" width="9.6640625" customWidth="1"/>
    <col min="13314" max="13314" width="22.88671875" customWidth="1"/>
    <col min="13569" max="13569" width="9.6640625" customWidth="1"/>
    <col min="13570" max="13570" width="22.88671875" customWidth="1"/>
    <col min="13825" max="13825" width="9.6640625" customWidth="1"/>
    <col min="13826" max="13826" width="22.88671875" customWidth="1"/>
    <col min="14081" max="14081" width="9.6640625" customWidth="1"/>
    <col min="14082" max="14082" width="22.88671875" customWidth="1"/>
    <col min="14337" max="14337" width="9.6640625" customWidth="1"/>
    <col min="14338" max="14338" width="22.88671875" customWidth="1"/>
    <col min="14593" max="14593" width="9.6640625" customWidth="1"/>
    <col min="14594" max="14594" width="22.88671875" customWidth="1"/>
    <col min="14849" max="14849" width="9.6640625" customWidth="1"/>
    <col min="14850" max="14850" width="22.88671875" customWidth="1"/>
    <col min="15105" max="15105" width="9.6640625" customWidth="1"/>
    <col min="15106" max="15106" width="22.88671875" customWidth="1"/>
    <col min="15361" max="15361" width="9.6640625" customWidth="1"/>
    <col min="15362" max="15362" width="22.88671875" customWidth="1"/>
    <col min="15617" max="15617" width="9.6640625" customWidth="1"/>
    <col min="15618" max="15618" width="22.88671875" customWidth="1"/>
    <col min="15873" max="15873" width="9.6640625" customWidth="1"/>
    <col min="15874" max="15874" width="22.88671875" customWidth="1"/>
    <col min="16129" max="16129" width="9.6640625" customWidth="1"/>
    <col min="16130" max="16130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78">
        <f>Presupuesto!B41</f>
        <v>34</v>
      </c>
      <c r="C3" s="76"/>
      <c r="D3" s="76"/>
      <c r="E3" s="7"/>
      <c r="F3" s="77"/>
      <c r="G3" s="77"/>
    </row>
    <row r="4" spans="1:7" x14ac:dyDescent="0.25">
      <c r="A4" s="7" t="s">
        <v>13</v>
      </c>
      <c r="B4" s="407" t="str">
        <f>Presupuesto!C41</f>
        <v>513267</v>
      </c>
      <c r="C4" s="408"/>
      <c r="D4" s="408"/>
      <c r="E4" s="408"/>
      <c r="F4" s="408"/>
      <c r="G4" s="408"/>
    </row>
    <row r="5" spans="1:7" x14ac:dyDescent="0.25">
      <c r="A5" s="7" t="s">
        <v>14</v>
      </c>
      <c r="B5" s="407" t="str">
        <f>Presupuesto!D41</f>
        <v>Llaves de agua para manguera d=1/2"</v>
      </c>
      <c r="C5" s="408"/>
      <c r="D5" s="408"/>
      <c r="E5" s="408"/>
      <c r="F5" s="408"/>
      <c r="G5" s="408"/>
    </row>
    <row r="6" spans="1:7" x14ac:dyDescent="0.25">
      <c r="A6" s="7" t="s">
        <v>15</v>
      </c>
      <c r="B6" s="407" t="str">
        <f>Presupuesto!E41</f>
        <v>u</v>
      </c>
      <c r="C6" s="408"/>
      <c r="D6" s="408"/>
      <c r="E6" s="408"/>
      <c r="F6" s="408"/>
      <c r="G6" s="408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73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ROUND(0.05*G29,2)</f>
        <v>0.09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0.09</v>
      </c>
    </row>
    <row r="14" spans="1:7" x14ac:dyDescent="0.25">
      <c r="A14" s="14"/>
      <c r="B14" s="73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149</v>
      </c>
      <c r="B17" s="213" t="s">
        <v>150</v>
      </c>
      <c r="C17" s="201" t="s">
        <v>48</v>
      </c>
      <c r="D17" s="203">
        <v>0.5</v>
      </c>
      <c r="E17" s="204">
        <v>0.3</v>
      </c>
      <c r="F17" s="230"/>
      <c r="G17" s="204">
        <f>ROUND(D17*E17,2)</f>
        <v>0.15</v>
      </c>
    </row>
    <row r="18" spans="1:7" ht="21" x14ac:dyDescent="0.25">
      <c r="A18" s="209" t="s">
        <v>267</v>
      </c>
      <c r="B18" s="244" t="s">
        <v>268</v>
      </c>
      <c r="C18" s="209" t="s">
        <v>48</v>
      </c>
      <c r="D18" s="211">
        <v>1</v>
      </c>
      <c r="E18" s="212">
        <v>7</v>
      </c>
      <c r="F18" s="232"/>
      <c r="G18" s="212">
        <f>ROUND(D18*E18,2)</f>
        <v>7</v>
      </c>
    </row>
    <row r="19" spans="1:7" x14ac:dyDescent="0.25">
      <c r="A19" s="398" t="s">
        <v>25</v>
      </c>
      <c r="B19" s="398"/>
      <c r="C19" s="398"/>
      <c r="D19" s="398"/>
      <c r="E19" s="398"/>
      <c r="F19" s="398"/>
      <c r="G19" s="24">
        <f>SUM(G17:G18)</f>
        <v>7.15</v>
      </c>
    </row>
    <row r="20" spans="1:7" x14ac:dyDescent="0.25">
      <c r="A20" s="14"/>
      <c r="B20" s="73"/>
      <c r="C20" s="14"/>
      <c r="D20" s="16"/>
      <c r="E20" s="17"/>
      <c r="F20" s="16"/>
      <c r="G20" s="17"/>
    </row>
    <row r="21" spans="1:7" x14ac:dyDescent="0.25">
      <c r="A21" s="395" t="s">
        <v>26</v>
      </c>
      <c r="B21" s="396"/>
      <c r="C21" s="396"/>
      <c r="D21" s="396"/>
      <c r="E21" s="396"/>
      <c r="F21" s="396"/>
      <c r="G21" s="397"/>
    </row>
    <row r="22" spans="1:7" x14ac:dyDescent="0.25">
      <c r="A22" s="27" t="s">
        <v>18</v>
      </c>
      <c r="B22" s="27" t="s">
        <v>19</v>
      </c>
      <c r="C22" s="27" t="s">
        <v>3</v>
      </c>
      <c r="D22" s="27" t="s">
        <v>4</v>
      </c>
      <c r="E22" s="27" t="s">
        <v>27</v>
      </c>
      <c r="F22" s="27" t="s">
        <v>28</v>
      </c>
      <c r="G22" s="27" t="s">
        <v>22</v>
      </c>
    </row>
    <row r="23" spans="1:7" x14ac:dyDescent="0.25">
      <c r="A23" s="89"/>
      <c r="B23" s="242"/>
      <c r="C23" s="89"/>
      <c r="D23" s="90"/>
      <c r="E23" s="91"/>
      <c r="F23" s="243"/>
      <c r="G23" s="21"/>
    </row>
    <row r="24" spans="1:7" x14ac:dyDescent="0.25">
      <c r="A24" s="398" t="s">
        <v>29</v>
      </c>
      <c r="B24" s="423"/>
      <c r="C24" s="423"/>
      <c r="D24" s="423"/>
      <c r="E24" s="423"/>
      <c r="F24" s="423"/>
      <c r="G24" s="24">
        <v>0</v>
      </c>
    </row>
    <row r="25" spans="1:7" x14ac:dyDescent="0.25">
      <c r="A25" s="14"/>
      <c r="B25" s="73"/>
      <c r="C25" s="14"/>
      <c r="D25" s="16"/>
      <c r="E25" s="17"/>
      <c r="F25" s="16"/>
      <c r="G25" s="17"/>
    </row>
    <row r="26" spans="1:7" x14ac:dyDescent="0.25">
      <c r="A26" s="395" t="s">
        <v>30</v>
      </c>
      <c r="B26" s="396"/>
      <c r="C26" s="396"/>
      <c r="D26" s="396"/>
      <c r="E26" s="396"/>
      <c r="F26" s="396"/>
      <c r="G26" s="397"/>
    </row>
    <row r="27" spans="1:7" x14ac:dyDescent="0.25">
      <c r="A27" s="27" t="s">
        <v>18</v>
      </c>
      <c r="B27" s="27" t="s">
        <v>19</v>
      </c>
      <c r="C27" s="27"/>
      <c r="D27" s="27" t="s">
        <v>31</v>
      </c>
      <c r="E27" s="27" t="s">
        <v>32</v>
      </c>
      <c r="F27" s="27" t="s">
        <v>21</v>
      </c>
      <c r="G27" s="27" t="s">
        <v>22</v>
      </c>
    </row>
    <row r="28" spans="1:7" x14ac:dyDescent="0.25">
      <c r="A28" s="19" t="s">
        <v>76</v>
      </c>
      <c r="B28" s="198" t="s">
        <v>77</v>
      </c>
      <c r="C28" s="188"/>
      <c r="D28" s="20">
        <v>1</v>
      </c>
      <c r="E28" s="21">
        <v>3.45</v>
      </c>
      <c r="F28" s="20">
        <v>0.5</v>
      </c>
      <c r="G28" s="21">
        <f>ROUND(D28*E28*F28,2)</f>
        <v>1.73</v>
      </c>
    </row>
    <row r="29" spans="1:7" x14ac:dyDescent="0.25">
      <c r="A29" s="398" t="s">
        <v>33</v>
      </c>
      <c r="B29" s="398"/>
      <c r="C29" s="398"/>
      <c r="D29" s="398"/>
      <c r="E29" s="398"/>
      <c r="F29" s="398"/>
      <c r="G29" s="24">
        <f>SUM(G28)</f>
        <v>1.73</v>
      </c>
    </row>
    <row r="30" spans="1:7" x14ac:dyDescent="0.25">
      <c r="A30" s="14"/>
      <c r="B30" s="73"/>
      <c r="C30" s="14"/>
      <c r="D30" s="16"/>
      <c r="E30" s="17"/>
      <c r="F30" s="16"/>
      <c r="G30" s="17"/>
    </row>
    <row r="31" spans="1:7" x14ac:dyDescent="0.25">
      <c r="A31" s="399" t="s">
        <v>34</v>
      </c>
      <c r="B31" s="400"/>
      <c r="C31" s="400"/>
      <c r="D31" s="400"/>
      <c r="E31" s="400"/>
      <c r="F31" s="400"/>
      <c r="G31" s="5">
        <f>+G13+G19+G24+G29</f>
        <v>8.9700000000000006</v>
      </c>
    </row>
    <row r="32" spans="1:7" x14ac:dyDescent="0.25">
      <c r="A32" s="74"/>
      <c r="B32" s="75"/>
      <c r="C32" s="75"/>
      <c r="D32" s="75"/>
      <c r="E32" s="75"/>
      <c r="F32" s="75"/>
      <c r="G32" s="5"/>
    </row>
    <row r="33" spans="1:7" x14ac:dyDescent="0.25">
      <c r="A33" s="401" t="s">
        <v>35</v>
      </c>
      <c r="B33" s="402"/>
      <c r="C33" s="402"/>
      <c r="D33" s="402"/>
      <c r="E33" s="402"/>
      <c r="F33" s="402"/>
      <c r="G33" s="403"/>
    </row>
    <row r="34" spans="1:7" x14ac:dyDescent="0.25">
      <c r="A34" s="399" t="s">
        <v>78</v>
      </c>
      <c r="B34" s="400"/>
      <c r="C34" s="400"/>
      <c r="D34" s="400"/>
      <c r="E34" s="400"/>
      <c r="F34" s="400"/>
      <c r="G34" s="5">
        <f>ROUND(0.21*G31,2)</f>
        <v>1.88</v>
      </c>
    </row>
    <row r="35" spans="1:7" x14ac:dyDescent="0.25">
      <c r="A35" s="14"/>
      <c r="B35" s="73"/>
      <c r="C35" s="14"/>
      <c r="D35" s="16"/>
      <c r="E35" s="17"/>
      <c r="F35" s="16"/>
      <c r="G35" s="17"/>
    </row>
    <row r="36" spans="1:7" x14ac:dyDescent="0.25">
      <c r="A36" s="391" t="s">
        <v>36</v>
      </c>
      <c r="B36" s="392"/>
      <c r="C36" s="392"/>
      <c r="D36" s="392"/>
      <c r="E36" s="392"/>
      <c r="F36" s="392"/>
      <c r="G36" s="200">
        <f>G31+G34</f>
        <v>10.850000000000001</v>
      </c>
    </row>
  </sheetData>
  <mergeCells count="19">
    <mergeCell ref="A21:G21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9:F19"/>
    <mergeCell ref="A36:F36"/>
    <mergeCell ref="A24:F24"/>
    <mergeCell ref="A26:G26"/>
    <mergeCell ref="A29:F29"/>
    <mergeCell ref="A31:F31"/>
    <mergeCell ref="A33:G33"/>
    <mergeCell ref="A34:F34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K19" sqref="K19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38">
        <f>Presupuesto!B42</f>
        <v>35</v>
      </c>
      <c r="C3" s="39"/>
      <c r="D3" s="39"/>
      <c r="E3" s="37"/>
      <c r="F3" s="40"/>
      <c r="G3" s="40"/>
    </row>
    <row r="4" spans="1:7" x14ac:dyDescent="0.25">
      <c r="A4" s="37" t="s">
        <v>13</v>
      </c>
      <c r="B4" s="414" t="str">
        <f>Presupuesto!C42</f>
        <v>500001A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Presupuesto!D42</f>
        <v>Carpa parasol en lona colombiana concor con estructura metálica (3.20x3.0)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Presupuesto!E42</f>
        <v>u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/>
      <c r="B12" s="49"/>
      <c r="C12" s="50"/>
      <c r="D12" s="51"/>
      <c r="E12" s="52"/>
      <c r="F12" s="51"/>
      <c r="G12" s="52"/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v>0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ht="31.2" x14ac:dyDescent="0.25">
      <c r="A17" s="50" t="s">
        <v>228</v>
      </c>
      <c r="B17" s="245" t="s">
        <v>263</v>
      </c>
      <c r="C17" s="50" t="s">
        <v>48</v>
      </c>
      <c r="D17" s="51">
        <v>1</v>
      </c>
      <c r="E17" s="52">
        <v>370</v>
      </c>
      <c r="F17" s="234"/>
      <c r="G17" s="52">
        <f>ROUND(D17*E17,2)</f>
        <v>370</v>
      </c>
    </row>
    <row r="18" spans="1:7" x14ac:dyDescent="0.25">
      <c r="A18" s="378" t="s">
        <v>25</v>
      </c>
      <c r="B18" s="378"/>
      <c r="C18" s="378"/>
      <c r="D18" s="378"/>
      <c r="E18" s="378"/>
      <c r="F18" s="378"/>
      <c r="G18" s="56">
        <f>G17</f>
        <v>370</v>
      </c>
    </row>
    <row r="19" spans="1:7" x14ac:dyDescent="0.25">
      <c r="A19" s="45"/>
      <c r="B19" s="46"/>
      <c r="C19" s="45"/>
      <c r="D19" s="47"/>
      <c r="E19" s="48"/>
      <c r="F19" s="47"/>
      <c r="G19" s="48"/>
    </row>
    <row r="20" spans="1:7" x14ac:dyDescent="0.25">
      <c r="A20" s="380" t="s">
        <v>26</v>
      </c>
      <c r="B20" s="381"/>
      <c r="C20" s="381"/>
      <c r="D20" s="381"/>
      <c r="E20" s="381"/>
      <c r="F20" s="381"/>
      <c r="G20" s="382"/>
    </row>
    <row r="21" spans="1:7" x14ac:dyDescent="0.25">
      <c r="A21" s="72" t="s">
        <v>18</v>
      </c>
      <c r="B21" s="72" t="s">
        <v>19</v>
      </c>
      <c r="C21" s="72" t="s">
        <v>3</v>
      </c>
      <c r="D21" s="72" t="s">
        <v>4</v>
      </c>
      <c r="E21" s="72" t="s">
        <v>27</v>
      </c>
      <c r="F21" s="72" t="s">
        <v>28</v>
      </c>
      <c r="G21" s="72" t="s">
        <v>22</v>
      </c>
    </row>
    <row r="22" spans="1:7" x14ac:dyDescent="0.25">
      <c r="A22" s="160"/>
      <c r="B22" s="161"/>
      <c r="C22" s="160"/>
      <c r="D22" s="162"/>
      <c r="E22" s="163"/>
      <c r="F22" s="131"/>
      <c r="G22" s="52"/>
    </row>
    <row r="23" spans="1:7" x14ac:dyDescent="0.25">
      <c r="A23" s="378" t="s">
        <v>29</v>
      </c>
      <c r="B23" s="379"/>
      <c r="C23" s="379"/>
      <c r="D23" s="379"/>
      <c r="E23" s="379"/>
      <c r="F23" s="379"/>
      <c r="G23" s="56">
        <v>0</v>
      </c>
    </row>
    <row r="24" spans="1:7" x14ac:dyDescent="0.25">
      <c r="A24" s="45"/>
      <c r="B24" s="46"/>
      <c r="C24" s="45"/>
      <c r="D24" s="47"/>
      <c r="E24" s="48"/>
      <c r="F24" s="47"/>
      <c r="G24" s="48"/>
    </row>
    <row r="25" spans="1:7" x14ac:dyDescent="0.25">
      <c r="A25" s="380" t="s">
        <v>30</v>
      </c>
      <c r="B25" s="381"/>
      <c r="C25" s="381"/>
      <c r="D25" s="381"/>
      <c r="E25" s="381"/>
      <c r="F25" s="381"/>
      <c r="G25" s="382"/>
    </row>
    <row r="26" spans="1:7" x14ac:dyDescent="0.25">
      <c r="A26" s="72" t="s">
        <v>18</v>
      </c>
      <c r="B26" s="72" t="s">
        <v>19</v>
      </c>
      <c r="C26" s="72"/>
      <c r="D26" s="72" t="s">
        <v>31</v>
      </c>
      <c r="E26" s="72" t="s">
        <v>32</v>
      </c>
      <c r="F26" s="72" t="s">
        <v>21</v>
      </c>
      <c r="G26" s="72" t="s">
        <v>22</v>
      </c>
    </row>
    <row r="27" spans="1:7" x14ac:dyDescent="0.25">
      <c r="A27" s="50"/>
      <c r="B27" s="164"/>
      <c r="C27" s="165"/>
      <c r="D27" s="51"/>
      <c r="E27" s="52"/>
      <c r="F27" s="51"/>
      <c r="G27" s="52"/>
    </row>
    <row r="28" spans="1:7" x14ac:dyDescent="0.25">
      <c r="A28" s="378" t="s">
        <v>33</v>
      </c>
      <c r="B28" s="378"/>
      <c r="C28" s="378"/>
      <c r="D28" s="378"/>
      <c r="E28" s="378"/>
      <c r="F28" s="378"/>
      <c r="G28" s="56">
        <v>0</v>
      </c>
    </row>
    <row r="29" spans="1:7" x14ac:dyDescent="0.25">
      <c r="A29" s="45"/>
      <c r="B29" s="46"/>
      <c r="C29" s="45"/>
      <c r="D29" s="47"/>
      <c r="E29" s="48"/>
      <c r="F29" s="47"/>
      <c r="G29" s="48"/>
    </row>
    <row r="30" spans="1:7" x14ac:dyDescent="0.25">
      <c r="A30" s="383" t="s">
        <v>34</v>
      </c>
      <c r="B30" s="384"/>
      <c r="C30" s="384"/>
      <c r="D30" s="384"/>
      <c r="E30" s="384"/>
      <c r="F30" s="384"/>
      <c r="G30" s="58">
        <f>G13+G18+G23+G28</f>
        <v>370</v>
      </c>
    </row>
    <row r="31" spans="1:7" x14ac:dyDescent="0.25">
      <c r="A31" s="59"/>
      <c r="B31" s="60"/>
      <c r="C31" s="60"/>
      <c r="D31" s="60"/>
      <c r="E31" s="60"/>
      <c r="F31" s="60"/>
      <c r="G31" s="58"/>
    </row>
    <row r="32" spans="1:7" x14ac:dyDescent="0.25">
      <c r="A32" s="385" t="s">
        <v>35</v>
      </c>
      <c r="B32" s="386"/>
      <c r="C32" s="386"/>
      <c r="D32" s="386"/>
      <c r="E32" s="386"/>
      <c r="F32" s="386"/>
      <c r="G32" s="387"/>
    </row>
    <row r="33" spans="1:7" x14ac:dyDescent="0.25">
      <c r="A33" s="383" t="s">
        <v>78</v>
      </c>
      <c r="B33" s="384"/>
      <c r="C33" s="384"/>
      <c r="D33" s="384"/>
      <c r="E33" s="384"/>
      <c r="F33" s="384"/>
      <c r="G33" s="58">
        <f>ROUND(0.21*G30,2)</f>
        <v>77.7</v>
      </c>
    </row>
    <row r="34" spans="1:7" x14ac:dyDescent="0.25">
      <c r="A34" s="45"/>
      <c r="B34" s="46"/>
      <c r="C34" s="45"/>
      <c r="D34" s="47"/>
      <c r="E34" s="48"/>
      <c r="F34" s="47"/>
      <c r="G34" s="48"/>
    </row>
    <row r="35" spans="1:7" x14ac:dyDescent="0.25">
      <c r="A35" s="376" t="s">
        <v>36</v>
      </c>
      <c r="B35" s="377"/>
      <c r="C35" s="377"/>
      <c r="D35" s="377"/>
      <c r="E35" s="377"/>
      <c r="F35" s="377"/>
      <c r="G35" s="166">
        <f>G30+G33</f>
        <v>447.7</v>
      </c>
    </row>
  </sheetData>
  <mergeCells count="19">
    <mergeCell ref="A35:F35"/>
    <mergeCell ref="A23:F23"/>
    <mergeCell ref="A25:G25"/>
    <mergeCell ref="A28:F28"/>
    <mergeCell ref="A30:F30"/>
    <mergeCell ref="A32:G32"/>
    <mergeCell ref="A33:F33"/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L17" sqref="L17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38">
        <f>Presupuesto!B43</f>
        <v>36</v>
      </c>
      <c r="C3" s="39"/>
      <c r="D3" s="39"/>
      <c r="E3" s="37"/>
      <c r="F3" s="40"/>
      <c r="G3" s="40"/>
    </row>
    <row r="4" spans="1:7" x14ac:dyDescent="0.25">
      <c r="A4" s="37" t="s">
        <v>13</v>
      </c>
      <c r="B4" s="414" t="str">
        <f>Presupuesto!C43</f>
        <v>500002A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Presupuesto!D43</f>
        <v>Carpa parasol en lona colombiana concor con estructura metálica (3.20x3.85)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Presupuesto!E43</f>
        <v>u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/>
      <c r="B12" s="49"/>
      <c r="C12" s="50"/>
      <c r="D12" s="51"/>
      <c r="E12" s="52"/>
      <c r="F12" s="51"/>
      <c r="G12" s="52"/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v>0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ht="31.2" x14ac:dyDescent="0.25">
      <c r="A17" s="50" t="s">
        <v>228</v>
      </c>
      <c r="B17" s="245" t="s">
        <v>262</v>
      </c>
      <c r="C17" s="50" t="s">
        <v>48</v>
      </c>
      <c r="D17" s="51">
        <v>1</v>
      </c>
      <c r="E17" s="52">
        <v>470</v>
      </c>
      <c r="F17" s="234"/>
      <c r="G17" s="52">
        <f>ROUND(D17*E17,2)</f>
        <v>470</v>
      </c>
    </row>
    <row r="18" spans="1:7" x14ac:dyDescent="0.25">
      <c r="A18" s="378" t="s">
        <v>25</v>
      </c>
      <c r="B18" s="378"/>
      <c r="C18" s="378"/>
      <c r="D18" s="378"/>
      <c r="E18" s="378"/>
      <c r="F18" s="378"/>
      <c r="G18" s="56">
        <f>G17</f>
        <v>470</v>
      </c>
    </row>
    <row r="19" spans="1:7" x14ac:dyDescent="0.25">
      <c r="A19" s="45"/>
      <c r="B19" s="46"/>
      <c r="C19" s="45"/>
      <c r="D19" s="47"/>
      <c r="E19" s="48"/>
      <c r="F19" s="47"/>
      <c r="G19" s="48"/>
    </row>
    <row r="20" spans="1:7" x14ac:dyDescent="0.25">
      <c r="A20" s="380" t="s">
        <v>26</v>
      </c>
      <c r="B20" s="381"/>
      <c r="C20" s="381"/>
      <c r="D20" s="381"/>
      <c r="E20" s="381"/>
      <c r="F20" s="381"/>
      <c r="G20" s="382"/>
    </row>
    <row r="21" spans="1:7" x14ac:dyDescent="0.25">
      <c r="A21" s="72" t="s">
        <v>18</v>
      </c>
      <c r="B21" s="72" t="s">
        <v>19</v>
      </c>
      <c r="C21" s="72" t="s">
        <v>3</v>
      </c>
      <c r="D21" s="72" t="s">
        <v>4</v>
      </c>
      <c r="E21" s="72" t="s">
        <v>27</v>
      </c>
      <c r="F21" s="72" t="s">
        <v>28</v>
      </c>
      <c r="G21" s="72" t="s">
        <v>22</v>
      </c>
    </row>
    <row r="22" spans="1:7" x14ac:dyDescent="0.25">
      <c r="A22" s="160"/>
      <c r="B22" s="161"/>
      <c r="C22" s="160"/>
      <c r="D22" s="162"/>
      <c r="E22" s="163"/>
      <c r="F22" s="131"/>
      <c r="G22" s="52"/>
    </row>
    <row r="23" spans="1:7" x14ac:dyDescent="0.25">
      <c r="A23" s="378" t="s">
        <v>29</v>
      </c>
      <c r="B23" s="379"/>
      <c r="C23" s="379"/>
      <c r="D23" s="379"/>
      <c r="E23" s="379"/>
      <c r="F23" s="379"/>
      <c r="G23" s="56">
        <v>0</v>
      </c>
    </row>
    <row r="24" spans="1:7" x14ac:dyDescent="0.25">
      <c r="A24" s="45"/>
      <c r="B24" s="46"/>
      <c r="C24" s="45"/>
      <c r="D24" s="47"/>
      <c r="E24" s="48"/>
      <c r="F24" s="47"/>
      <c r="G24" s="48"/>
    </row>
    <row r="25" spans="1:7" x14ac:dyDescent="0.25">
      <c r="A25" s="380" t="s">
        <v>30</v>
      </c>
      <c r="B25" s="381"/>
      <c r="C25" s="381"/>
      <c r="D25" s="381"/>
      <c r="E25" s="381"/>
      <c r="F25" s="381"/>
      <c r="G25" s="382"/>
    </row>
    <row r="26" spans="1:7" x14ac:dyDescent="0.25">
      <c r="A26" s="72" t="s">
        <v>18</v>
      </c>
      <c r="B26" s="72" t="s">
        <v>19</v>
      </c>
      <c r="C26" s="72"/>
      <c r="D26" s="72" t="s">
        <v>31</v>
      </c>
      <c r="E26" s="72" t="s">
        <v>32</v>
      </c>
      <c r="F26" s="72" t="s">
        <v>21</v>
      </c>
      <c r="G26" s="72" t="s">
        <v>22</v>
      </c>
    </row>
    <row r="27" spans="1:7" x14ac:dyDescent="0.25">
      <c r="A27" s="50"/>
      <c r="B27" s="164"/>
      <c r="C27" s="165"/>
      <c r="D27" s="51"/>
      <c r="E27" s="52"/>
      <c r="F27" s="51"/>
      <c r="G27" s="52"/>
    </row>
    <row r="28" spans="1:7" x14ac:dyDescent="0.25">
      <c r="A28" s="378" t="s">
        <v>33</v>
      </c>
      <c r="B28" s="378"/>
      <c r="C28" s="378"/>
      <c r="D28" s="378"/>
      <c r="E28" s="378"/>
      <c r="F28" s="378"/>
      <c r="G28" s="56">
        <v>0</v>
      </c>
    </row>
    <row r="29" spans="1:7" x14ac:dyDescent="0.25">
      <c r="A29" s="45"/>
      <c r="B29" s="46"/>
      <c r="C29" s="45"/>
      <c r="D29" s="47"/>
      <c r="E29" s="48"/>
      <c r="F29" s="47"/>
      <c r="G29" s="48"/>
    </row>
    <row r="30" spans="1:7" x14ac:dyDescent="0.25">
      <c r="A30" s="383" t="s">
        <v>34</v>
      </c>
      <c r="B30" s="384"/>
      <c r="C30" s="384"/>
      <c r="D30" s="384"/>
      <c r="E30" s="384"/>
      <c r="F30" s="384"/>
      <c r="G30" s="58">
        <f>G13+G18+G23+G28</f>
        <v>470</v>
      </c>
    </row>
    <row r="31" spans="1:7" x14ac:dyDescent="0.25">
      <c r="A31" s="59"/>
      <c r="B31" s="60"/>
      <c r="C31" s="60"/>
      <c r="D31" s="60"/>
      <c r="E31" s="60"/>
      <c r="F31" s="60"/>
      <c r="G31" s="58"/>
    </row>
    <row r="32" spans="1:7" x14ac:dyDescent="0.25">
      <c r="A32" s="385" t="s">
        <v>35</v>
      </c>
      <c r="B32" s="386"/>
      <c r="C32" s="386"/>
      <c r="D32" s="386"/>
      <c r="E32" s="386"/>
      <c r="F32" s="386"/>
      <c r="G32" s="387"/>
    </row>
    <row r="33" spans="1:7" x14ac:dyDescent="0.25">
      <c r="A33" s="383" t="s">
        <v>78</v>
      </c>
      <c r="B33" s="384"/>
      <c r="C33" s="384"/>
      <c r="D33" s="384"/>
      <c r="E33" s="384"/>
      <c r="F33" s="384"/>
      <c r="G33" s="58">
        <f>ROUND(G30*0.21,2)</f>
        <v>98.7</v>
      </c>
    </row>
    <row r="34" spans="1:7" x14ac:dyDescent="0.25">
      <c r="A34" s="45"/>
      <c r="B34" s="46"/>
      <c r="C34" s="45"/>
      <c r="D34" s="47"/>
      <c r="E34" s="48"/>
      <c r="F34" s="47"/>
      <c r="G34" s="48"/>
    </row>
    <row r="35" spans="1:7" x14ac:dyDescent="0.25">
      <c r="A35" s="376" t="s">
        <v>36</v>
      </c>
      <c r="B35" s="377"/>
      <c r="C35" s="377"/>
      <c r="D35" s="377"/>
      <c r="E35" s="377"/>
      <c r="F35" s="377"/>
      <c r="G35" s="166">
        <f>G30+G33</f>
        <v>568.70000000000005</v>
      </c>
    </row>
  </sheetData>
  <mergeCells count="19">
    <mergeCell ref="A35:F35"/>
    <mergeCell ref="A23:F23"/>
    <mergeCell ref="A25:G25"/>
    <mergeCell ref="A28:F28"/>
    <mergeCell ref="A30:F30"/>
    <mergeCell ref="A32:G32"/>
    <mergeCell ref="A33:F33"/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L20" sqref="L20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68">
        <f>Presupuesto!B44</f>
        <v>37</v>
      </c>
      <c r="C3" s="66"/>
      <c r="D3" s="66"/>
      <c r="E3" s="37"/>
      <c r="F3" s="67"/>
      <c r="G3" s="67"/>
    </row>
    <row r="4" spans="1:7" x14ac:dyDescent="0.25">
      <c r="A4" s="37" t="s">
        <v>13</v>
      </c>
      <c r="B4" s="414" t="str">
        <f>Presupuesto!C44</f>
        <v>500003A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Presupuesto!D44</f>
        <v>Baños portátiles de fabricación nacional (incluyen lavamanos)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Presupuesto!E44</f>
        <v>u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/>
      <c r="B12" s="49"/>
      <c r="C12" s="50"/>
      <c r="D12" s="51"/>
      <c r="E12" s="52"/>
      <c r="F12" s="51"/>
      <c r="G12" s="52"/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v>0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ht="21" x14ac:dyDescent="0.25">
      <c r="A17" s="50" t="s">
        <v>228</v>
      </c>
      <c r="B17" s="245" t="s">
        <v>284</v>
      </c>
      <c r="C17" s="50" t="s">
        <v>48</v>
      </c>
      <c r="D17" s="51">
        <v>1</v>
      </c>
      <c r="E17" s="52">
        <f>1200*1.14</f>
        <v>1367.9999999999998</v>
      </c>
      <c r="F17" s="234"/>
      <c r="G17" s="52">
        <f>ROUND(D17*E17,2)</f>
        <v>1368</v>
      </c>
    </row>
    <row r="18" spans="1:7" x14ac:dyDescent="0.25">
      <c r="A18" s="378" t="s">
        <v>25</v>
      </c>
      <c r="B18" s="378"/>
      <c r="C18" s="378"/>
      <c r="D18" s="378"/>
      <c r="E18" s="378"/>
      <c r="F18" s="378"/>
      <c r="G18" s="56">
        <f>G17</f>
        <v>1368</v>
      </c>
    </row>
    <row r="19" spans="1:7" x14ac:dyDescent="0.25">
      <c r="A19" s="45"/>
      <c r="B19" s="46"/>
      <c r="C19" s="45"/>
      <c r="D19" s="47"/>
      <c r="E19" s="48"/>
      <c r="F19" s="47"/>
      <c r="G19" s="48"/>
    </row>
    <row r="20" spans="1:7" x14ac:dyDescent="0.25">
      <c r="A20" s="380" t="s">
        <v>26</v>
      </c>
      <c r="B20" s="381"/>
      <c r="C20" s="381"/>
      <c r="D20" s="381"/>
      <c r="E20" s="381"/>
      <c r="F20" s="381"/>
      <c r="G20" s="382"/>
    </row>
    <row r="21" spans="1:7" x14ac:dyDescent="0.25">
      <c r="A21" s="72" t="s">
        <v>18</v>
      </c>
      <c r="B21" s="72" t="s">
        <v>19</v>
      </c>
      <c r="C21" s="72" t="s">
        <v>3</v>
      </c>
      <c r="D21" s="72" t="s">
        <v>4</v>
      </c>
      <c r="E21" s="72" t="s">
        <v>27</v>
      </c>
      <c r="F21" s="72" t="s">
        <v>28</v>
      </c>
      <c r="G21" s="72" t="s">
        <v>22</v>
      </c>
    </row>
    <row r="22" spans="1:7" x14ac:dyDescent="0.25">
      <c r="A22" s="160"/>
      <c r="B22" s="161"/>
      <c r="C22" s="160"/>
      <c r="D22" s="162"/>
      <c r="E22" s="163"/>
      <c r="F22" s="131"/>
      <c r="G22" s="52"/>
    </row>
    <row r="23" spans="1:7" x14ac:dyDescent="0.25">
      <c r="A23" s="378" t="s">
        <v>29</v>
      </c>
      <c r="B23" s="379"/>
      <c r="C23" s="379"/>
      <c r="D23" s="379"/>
      <c r="E23" s="379"/>
      <c r="F23" s="379"/>
      <c r="G23" s="56">
        <v>0</v>
      </c>
    </row>
    <row r="24" spans="1:7" x14ac:dyDescent="0.25">
      <c r="A24" s="45"/>
      <c r="B24" s="46"/>
      <c r="C24" s="45"/>
      <c r="D24" s="47"/>
      <c r="E24" s="48"/>
      <c r="F24" s="47"/>
      <c r="G24" s="48"/>
    </row>
    <row r="25" spans="1:7" x14ac:dyDescent="0.25">
      <c r="A25" s="380" t="s">
        <v>30</v>
      </c>
      <c r="B25" s="381"/>
      <c r="C25" s="381"/>
      <c r="D25" s="381"/>
      <c r="E25" s="381"/>
      <c r="F25" s="381"/>
      <c r="G25" s="382"/>
    </row>
    <row r="26" spans="1:7" x14ac:dyDescent="0.25">
      <c r="A26" s="72" t="s">
        <v>18</v>
      </c>
      <c r="B26" s="72" t="s">
        <v>19</v>
      </c>
      <c r="C26" s="72"/>
      <c r="D26" s="72" t="s">
        <v>31</v>
      </c>
      <c r="E26" s="72" t="s">
        <v>32</v>
      </c>
      <c r="F26" s="72" t="s">
        <v>21</v>
      </c>
      <c r="G26" s="72" t="s">
        <v>22</v>
      </c>
    </row>
    <row r="27" spans="1:7" x14ac:dyDescent="0.25">
      <c r="A27" s="50"/>
      <c r="B27" s="164"/>
      <c r="C27" s="165"/>
      <c r="D27" s="51"/>
      <c r="E27" s="52"/>
      <c r="F27" s="51"/>
      <c r="G27" s="52"/>
    </row>
    <row r="28" spans="1:7" x14ac:dyDescent="0.25">
      <c r="A28" s="378" t="s">
        <v>33</v>
      </c>
      <c r="B28" s="378"/>
      <c r="C28" s="378"/>
      <c r="D28" s="378"/>
      <c r="E28" s="378"/>
      <c r="F28" s="378"/>
      <c r="G28" s="56">
        <v>0</v>
      </c>
    </row>
    <row r="29" spans="1:7" x14ac:dyDescent="0.25">
      <c r="A29" s="45"/>
      <c r="B29" s="46"/>
      <c r="C29" s="45"/>
      <c r="D29" s="47"/>
      <c r="E29" s="48"/>
      <c r="F29" s="47"/>
      <c r="G29" s="48"/>
    </row>
    <row r="30" spans="1:7" x14ac:dyDescent="0.25">
      <c r="A30" s="383" t="s">
        <v>34</v>
      </c>
      <c r="B30" s="384"/>
      <c r="C30" s="384"/>
      <c r="D30" s="384"/>
      <c r="E30" s="384"/>
      <c r="F30" s="384"/>
      <c r="G30" s="58">
        <f>G13+G18+G23+G28</f>
        <v>1368</v>
      </c>
    </row>
    <row r="31" spans="1:7" x14ac:dyDescent="0.25">
      <c r="A31" s="69"/>
      <c r="B31" s="70"/>
      <c r="C31" s="70"/>
      <c r="D31" s="70"/>
      <c r="E31" s="70"/>
      <c r="F31" s="70"/>
      <c r="G31" s="58"/>
    </row>
    <row r="32" spans="1:7" x14ac:dyDescent="0.25">
      <c r="A32" s="385" t="s">
        <v>35</v>
      </c>
      <c r="B32" s="386"/>
      <c r="C32" s="386"/>
      <c r="D32" s="386"/>
      <c r="E32" s="386"/>
      <c r="F32" s="386"/>
      <c r="G32" s="387"/>
    </row>
    <row r="33" spans="1:7" x14ac:dyDescent="0.25">
      <c r="A33" s="383" t="s">
        <v>78</v>
      </c>
      <c r="B33" s="384"/>
      <c r="C33" s="384"/>
      <c r="D33" s="384"/>
      <c r="E33" s="384"/>
      <c r="F33" s="384"/>
      <c r="G33" s="58">
        <f>ROUND(G30*0.21,2)</f>
        <v>287.27999999999997</v>
      </c>
    </row>
    <row r="34" spans="1:7" x14ac:dyDescent="0.25">
      <c r="A34" s="45"/>
      <c r="B34" s="46"/>
      <c r="C34" s="45"/>
      <c r="D34" s="47"/>
      <c r="E34" s="48"/>
      <c r="F34" s="47"/>
      <c r="G34" s="48"/>
    </row>
    <row r="35" spans="1:7" x14ac:dyDescent="0.25">
      <c r="A35" s="376" t="s">
        <v>36</v>
      </c>
      <c r="B35" s="377"/>
      <c r="C35" s="377"/>
      <c r="D35" s="377"/>
      <c r="E35" s="377"/>
      <c r="F35" s="377"/>
      <c r="G35" s="166">
        <f>G30+G33</f>
        <v>1655.28</v>
      </c>
    </row>
  </sheetData>
  <mergeCells count="19"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  <mergeCell ref="A35:F35"/>
    <mergeCell ref="A23:F23"/>
    <mergeCell ref="A25:G25"/>
    <mergeCell ref="A28:F28"/>
    <mergeCell ref="A30:F30"/>
    <mergeCell ref="A32:G32"/>
    <mergeCell ref="A33:F33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B4" sqref="B4:B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125">
        <f>Presupuesto!B9</f>
        <v>2</v>
      </c>
      <c r="C3" s="8"/>
      <c r="D3" s="8"/>
      <c r="E3" s="7"/>
      <c r="F3" s="9"/>
      <c r="G3" s="9"/>
    </row>
    <row r="4" spans="1:7" x14ac:dyDescent="0.25">
      <c r="A4" s="7" t="s">
        <v>13</v>
      </c>
      <c r="B4" s="254" t="str">
        <f>Presupuesto!C9</f>
        <v>500099M</v>
      </c>
      <c r="C4" s="195"/>
      <c r="D4" s="195"/>
      <c r="E4" s="195"/>
      <c r="F4" s="195"/>
      <c r="G4" s="195"/>
    </row>
    <row r="5" spans="1:7" x14ac:dyDescent="0.25">
      <c r="A5" s="7" t="s">
        <v>14</v>
      </c>
      <c r="B5" s="196" t="str">
        <f>Presupuesto!D9</f>
        <v>Desbroce y limpieza del terreno (incluye desalojo)</v>
      </c>
      <c r="C5" s="195"/>
      <c r="D5" s="195"/>
      <c r="E5" s="195"/>
      <c r="F5" s="195"/>
      <c r="G5" s="195"/>
    </row>
    <row r="6" spans="1:7" x14ac:dyDescent="0.25">
      <c r="A6" s="7" t="s">
        <v>15</v>
      </c>
      <c r="B6" s="196" t="str">
        <f>Presupuesto!E9</f>
        <v>m2</v>
      </c>
      <c r="C6" s="195"/>
      <c r="D6" s="195"/>
      <c r="E6" s="195"/>
      <c r="F6" s="195"/>
      <c r="G6" s="195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201" t="s">
        <v>228</v>
      </c>
      <c r="B12" s="202" t="s">
        <v>277</v>
      </c>
      <c r="C12" s="201" t="s">
        <v>48</v>
      </c>
      <c r="D12" s="203">
        <v>1</v>
      </c>
      <c r="E12" s="204">
        <v>35</v>
      </c>
      <c r="F12" s="203">
        <v>6.7000000000000002E-3</v>
      </c>
      <c r="G12" s="204">
        <f>ROUND(D12*E12*F12,2)</f>
        <v>0.23</v>
      </c>
    </row>
    <row r="13" spans="1:7" x14ac:dyDescent="0.25">
      <c r="A13" s="209" t="s">
        <v>228</v>
      </c>
      <c r="B13" s="210" t="s">
        <v>278</v>
      </c>
      <c r="C13" s="209" t="s">
        <v>48</v>
      </c>
      <c r="D13" s="211">
        <v>1</v>
      </c>
      <c r="E13" s="212">
        <v>25</v>
      </c>
      <c r="F13" s="211">
        <v>6.7000000000000002E-3</v>
      </c>
      <c r="G13" s="212">
        <f>ROUND(D13*E13*F13,2)</f>
        <v>0.17</v>
      </c>
    </row>
    <row r="14" spans="1:7" x14ac:dyDescent="0.25">
      <c r="A14" s="398" t="s">
        <v>23</v>
      </c>
      <c r="B14" s="398"/>
      <c r="C14" s="398"/>
      <c r="D14" s="398"/>
      <c r="E14" s="398"/>
      <c r="F14" s="398"/>
      <c r="G14" s="24">
        <f>SUM(G12:G13)</f>
        <v>0.4</v>
      </c>
    </row>
    <row r="15" spans="1:7" x14ac:dyDescent="0.25">
      <c r="A15" s="14"/>
      <c r="B15" s="15"/>
      <c r="C15" s="14"/>
      <c r="D15" s="16"/>
      <c r="E15" s="17"/>
      <c r="F15" s="16"/>
      <c r="G15" s="17"/>
    </row>
    <row r="16" spans="1:7" x14ac:dyDescent="0.25">
      <c r="A16" s="395" t="s">
        <v>24</v>
      </c>
      <c r="B16" s="396"/>
      <c r="C16" s="396"/>
      <c r="D16" s="396"/>
      <c r="E16" s="396"/>
      <c r="F16" s="396"/>
      <c r="G16" s="397"/>
    </row>
    <row r="17" spans="1:11" x14ac:dyDescent="0.25">
      <c r="A17" s="27" t="s">
        <v>18</v>
      </c>
      <c r="B17" s="27" t="s">
        <v>19</v>
      </c>
      <c r="C17" s="27" t="s">
        <v>3</v>
      </c>
      <c r="D17" s="197" t="s">
        <v>4</v>
      </c>
      <c r="E17" s="189" t="s">
        <v>20</v>
      </c>
      <c r="F17" s="26"/>
      <c r="G17" s="189" t="s">
        <v>22</v>
      </c>
    </row>
    <row r="18" spans="1:11" x14ac:dyDescent="0.25">
      <c r="A18" s="19"/>
      <c r="B18" s="198"/>
      <c r="C18" s="19"/>
      <c r="D18" s="20"/>
      <c r="E18" s="21"/>
      <c r="F18" s="199"/>
      <c r="G18" s="21"/>
    </row>
    <row r="19" spans="1:11" x14ac:dyDescent="0.25">
      <c r="A19" s="398" t="s">
        <v>25</v>
      </c>
      <c r="B19" s="398"/>
      <c r="C19" s="398"/>
      <c r="D19" s="398"/>
      <c r="E19" s="398"/>
      <c r="F19" s="398"/>
      <c r="G19" s="24">
        <v>0</v>
      </c>
    </row>
    <row r="20" spans="1:11" x14ac:dyDescent="0.25">
      <c r="A20" s="14"/>
      <c r="B20" s="15"/>
      <c r="C20" s="14"/>
      <c r="D20" s="16"/>
      <c r="E20" s="17"/>
      <c r="F20" s="16"/>
      <c r="G20" s="17"/>
    </row>
    <row r="21" spans="1:11" x14ac:dyDescent="0.25">
      <c r="A21" s="395" t="s">
        <v>26</v>
      </c>
      <c r="B21" s="396"/>
      <c r="C21" s="396"/>
      <c r="D21" s="396"/>
      <c r="E21" s="396"/>
      <c r="F21" s="396"/>
      <c r="G21" s="397"/>
    </row>
    <row r="22" spans="1:11" x14ac:dyDescent="0.25">
      <c r="A22" s="27" t="s">
        <v>18</v>
      </c>
      <c r="B22" s="27" t="s">
        <v>19</v>
      </c>
      <c r="C22" s="27" t="s">
        <v>3</v>
      </c>
      <c r="D22" s="27" t="s">
        <v>4</v>
      </c>
      <c r="E22" s="27" t="s">
        <v>27</v>
      </c>
      <c r="F22" s="27" t="s">
        <v>28</v>
      </c>
      <c r="G22" s="27" t="s">
        <v>22</v>
      </c>
    </row>
    <row r="23" spans="1:11" x14ac:dyDescent="0.25">
      <c r="A23" s="22"/>
      <c r="B23" s="25"/>
      <c r="C23" s="22"/>
      <c r="D23" s="23"/>
      <c r="E23" s="24"/>
      <c r="F23" s="26"/>
      <c r="G23" s="21"/>
    </row>
    <row r="24" spans="1:11" x14ac:dyDescent="0.25">
      <c r="A24" s="393" t="s">
        <v>29</v>
      </c>
      <c r="B24" s="394"/>
      <c r="C24" s="394"/>
      <c r="D24" s="394"/>
      <c r="E24" s="394"/>
      <c r="F24" s="394"/>
      <c r="G24" s="24">
        <v>0</v>
      </c>
    </row>
    <row r="25" spans="1:11" x14ac:dyDescent="0.25">
      <c r="A25" s="14"/>
      <c r="B25" s="15"/>
      <c r="C25" s="14"/>
      <c r="D25" s="16"/>
      <c r="E25" s="17"/>
      <c r="F25" s="16"/>
      <c r="G25" s="17"/>
    </row>
    <row r="26" spans="1:11" x14ac:dyDescent="0.25">
      <c r="A26" s="395" t="s">
        <v>30</v>
      </c>
      <c r="B26" s="396"/>
      <c r="C26" s="396"/>
      <c r="D26" s="396"/>
      <c r="E26" s="396"/>
      <c r="F26" s="396"/>
      <c r="G26" s="397"/>
    </row>
    <row r="27" spans="1:11" x14ac:dyDescent="0.25">
      <c r="A27" s="27" t="s">
        <v>18</v>
      </c>
      <c r="B27" s="27" t="s">
        <v>19</v>
      </c>
      <c r="C27" s="27"/>
      <c r="D27" s="27" t="s">
        <v>31</v>
      </c>
      <c r="E27" s="27" t="s">
        <v>32</v>
      </c>
      <c r="F27" s="27" t="s">
        <v>21</v>
      </c>
      <c r="G27" s="27" t="s">
        <v>22</v>
      </c>
    </row>
    <row r="28" spans="1:11" x14ac:dyDescent="0.25">
      <c r="A28" s="201" t="s">
        <v>228</v>
      </c>
      <c r="B28" s="213" t="s">
        <v>342</v>
      </c>
      <c r="C28" s="190"/>
      <c r="D28" s="203">
        <v>1</v>
      </c>
      <c r="E28" s="204">
        <v>3.82</v>
      </c>
      <c r="F28" s="203">
        <v>6.7000000000000002E-3</v>
      </c>
      <c r="G28" s="204">
        <f>ROUND(D28*E28*F28,2)</f>
        <v>0.03</v>
      </c>
      <c r="I28" s="113"/>
      <c r="J28" s="113"/>
      <c r="K28" s="113"/>
    </row>
    <row r="29" spans="1:11" x14ac:dyDescent="0.25">
      <c r="A29" s="209" t="s">
        <v>228</v>
      </c>
      <c r="B29" s="216" t="s">
        <v>341</v>
      </c>
      <c r="C29" s="217"/>
      <c r="D29" s="211">
        <v>1</v>
      </c>
      <c r="E29" s="212">
        <v>3.82</v>
      </c>
      <c r="F29" s="211">
        <v>6.7000000000000002E-3</v>
      </c>
      <c r="G29" s="212">
        <f>ROUND(D29*E29*F29,2)</f>
        <v>0.03</v>
      </c>
    </row>
    <row r="30" spans="1:11" x14ac:dyDescent="0.25">
      <c r="A30" s="398" t="s">
        <v>33</v>
      </c>
      <c r="B30" s="398"/>
      <c r="C30" s="398"/>
      <c r="D30" s="398"/>
      <c r="E30" s="398"/>
      <c r="F30" s="398"/>
      <c r="G30" s="24">
        <f>SUM(G28:G29)</f>
        <v>0.06</v>
      </c>
    </row>
    <row r="31" spans="1:11" x14ac:dyDescent="0.25">
      <c r="A31" s="14"/>
      <c r="B31" s="15"/>
      <c r="C31" s="14"/>
      <c r="D31" s="16"/>
      <c r="E31" s="17"/>
      <c r="F31" s="16"/>
      <c r="G31" s="17"/>
    </row>
    <row r="32" spans="1:11" x14ac:dyDescent="0.25">
      <c r="A32" s="399" t="s">
        <v>34</v>
      </c>
      <c r="B32" s="400"/>
      <c r="C32" s="400"/>
      <c r="D32" s="400"/>
      <c r="E32" s="400"/>
      <c r="F32" s="400"/>
      <c r="G32" s="5">
        <f>+G30+G24+G19+G14</f>
        <v>0.46</v>
      </c>
    </row>
    <row r="33" spans="1:7" x14ac:dyDescent="0.25">
      <c r="A33" s="28"/>
      <c r="B33" s="29"/>
      <c r="C33" s="29"/>
      <c r="D33" s="29"/>
      <c r="E33" s="29"/>
      <c r="F33" s="29"/>
      <c r="G33" s="5"/>
    </row>
    <row r="34" spans="1:7" x14ac:dyDescent="0.25">
      <c r="A34" s="401" t="s">
        <v>35</v>
      </c>
      <c r="B34" s="402"/>
      <c r="C34" s="402"/>
      <c r="D34" s="402"/>
      <c r="E34" s="402"/>
      <c r="F34" s="402"/>
      <c r="G34" s="403"/>
    </row>
    <row r="35" spans="1:7" x14ac:dyDescent="0.25">
      <c r="A35" s="399" t="s">
        <v>78</v>
      </c>
      <c r="B35" s="400"/>
      <c r="C35" s="400"/>
      <c r="D35" s="400"/>
      <c r="E35" s="400"/>
      <c r="F35" s="400"/>
      <c r="G35" s="5">
        <f>ROUND(0.21*G32,2)</f>
        <v>0.1</v>
      </c>
    </row>
    <row r="36" spans="1:7" x14ac:dyDescent="0.25">
      <c r="A36" s="14"/>
      <c r="B36" s="15"/>
      <c r="C36" s="14"/>
      <c r="D36" s="16"/>
      <c r="E36" s="17"/>
      <c r="F36" s="16"/>
      <c r="G36" s="17"/>
    </row>
    <row r="37" spans="1:7" x14ac:dyDescent="0.25">
      <c r="A37" s="391" t="s">
        <v>36</v>
      </c>
      <c r="B37" s="392"/>
      <c r="C37" s="392"/>
      <c r="D37" s="392"/>
      <c r="E37" s="392"/>
      <c r="F37" s="392"/>
      <c r="G37" s="200">
        <f>G32+G35</f>
        <v>0.56000000000000005</v>
      </c>
    </row>
  </sheetData>
  <mergeCells count="16">
    <mergeCell ref="A21:G21"/>
    <mergeCell ref="A1:F1"/>
    <mergeCell ref="B2:D2"/>
    <mergeCell ref="F2:G2"/>
    <mergeCell ref="A8:G8"/>
    <mergeCell ref="A10:G10"/>
    <mergeCell ref="A14:F14"/>
    <mergeCell ref="A16:G16"/>
    <mergeCell ref="A19:F19"/>
    <mergeCell ref="A37:F37"/>
    <mergeCell ref="A24:F24"/>
    <mergeCell ref="A26:G26"/>
    <mergeCell ref="A30:F30"/>
    <mergeCell ref="A32:F32"/>
    <mergeCell ref="A34:G34"/>
    <mergeCell ref="A35:F35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activeCell="M20" sqref="M20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99">
        <f>Presupuesto!B45</f>
        <v>38</v>
      </c>
      <c r="C3" s="97"/>
      <c r="D3" s="97"/>
      <c r="E3" s="37"/>
      <c r="F3" s="98"/>
      <c r="G3" s="98"/>
    </row>
    <row r="4" spans="1:7" x14ac:dyDescent="0.25">
      <c r="A4" s="37" t="s">
        <v>13</v>
      </c>
      <c r="B4" s="414" t="str">
        <f>Presupuesto!C45</f>
        <v>512139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Presupuesto!D45</f>
        <v>Puerta de T.H.G 2" y malla #10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Presupuesto!E45</f>
        <v>m2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167" t="s">
        <v>202</v>
      </c>
      <c r="B12" s="168" t="s">
        <v>203</v>
      </c>
      <c r="C12" s="167" t="s">
        <v>85</v>
      </c>
      <c r="D12" s="169">
        <v>1</v>
      </c>
      <c r="E12" s="170">
        <v>2</v>
      </c>
      <c r="F12" s="169">
        <v>1.4</v>
      </c>
      <c r="G12" s="170">
        <f>ROUND(D12*E12*F12,2)</f>
        <v>2.8</v>
      </c>
    </row>
    <row r="13" spans="1:7" x14ac:dyDescent="0.25">
      <c r="A13" s="171" t="s">
        <v>79</v>
      </c>
      <c r="B13" s="172" t="s">
        <v>80</v>
      </c>
      <c r="C13" s="171" t="s">
        <v>81</v>
      </c>
      <c r="D13" s="173" t="s">
        <v>82</v>
      </c>
      <c r="E13" s="174"/>
      <c r="F13" s="173"/>
      <c r="G13" s="174">
        <f>ROUND(0.02*G37,2)</f>
        <v>0.19</v>
      </c>
    </row>
    <row r="14" spans="1:7" x14ac:dyDescent="0.25">
      <c r="A14" s="378" t="s">
        <v>23</v>
      </c>
      <c r="B14" s="378"/>
      <c r="C14" s="378"/>
      <c r="D14" s="378"/>
      <c r="E14" s="378"/>
      <c r="F14" s="378"/>
      <c r="G14" s="56">
        <f>SUM(G12:G13)</f>
        <v>2.9899999999999998</v>
      </c>
    </row>
    <row r="15" spans="1:7" x14ac:dyDescent="0.25">
      <c r="A15" s="45"/>
      <c r="B15" s="46"/>
      <c r="C15" s="45"/>
      <c r="D15" s="47"/>
      <c r="E15" s="48"/>
      <c r="F15" s="47"/>
      <c r="G15" s="48"/>
    </row>
    <row r="16" spans="1:7" x14ac:dyDescent="0.25">
      <c r="A16" s="380" t="s">
        <v>24</v>
      </c>
      <c r="B16" s="381"/>
      <c r="C16" s="381"/>
      <c r="D16" s="381"/>
      <c r="E16" s="381"/>
      <c r="F16" s="381"/>
      <c r="G16" s="382"/>
    </row>
    <row r="17" spans="1:7" x14ac:dyDescent="0.25">
      <c r="A17" s="72" t="s">
        <v>18</v>
      </c>
      <c r="B17" s="72" t="s">
        <v>19</v>
      </c>
      <c r="C17" s="72" t="s">
        <v>3</v>
      </c>
      <c r="D17" s="233" t="s">
        <v>4</v>
      </c>
      <c r="E17" s="159" t="s">
        <v>20</v>
      </c>
      <c r="F17" s="57"/>
      <c r="G17" s="159" t="s">
        <v>22</v>
      </c>
    </row>
    <row r="18" spans="1:7" x14ac:dyDescent="0.25">
      <c r="A18" s="167" t="s">
        <v>308</v>
      </c>
      <c r="B18" s="175" t="s">
        <v>309</v>
      </c>
      <c r="C18" s="167" t="s">
        <v>121</v>
      </c>
      <c r="D18" s="169">
        <v>0.27</v>
      </c>
      <c r="E18" s="170">
        <v>1.6</v>
      </c>
      <c r="F18" s="176"/>
      <c r="G18" s="170">
        <f>ROUND(D18*E18,2)</f>
        <v>0.43</v>
      </c>
    </row>
    <row r="19" spans="1:7" x14ac:dyDescent="0.25">
      <c r="A19" s="177" t="s">
        <v>310</v>
      </c>
      <c r="B19" s="178" t="s">
        <v>311</v>
      </c>
      <c r="C19" s="177" t="s">
        <v>312</v>
      </c>
      <c r="D19" s="179">
        <v>0.27</v>
      </c>
      <c r="E19" s="180">
        <v>0.6</v>
      </c>
      <c r="F19" s="181"/>
      <c r="G19" s="180">
        <f t="shared" ref="G19:G25" si="0">ROUND(D19*E19,2)</f>
        <v>0.16</v>
      </c>
    </row>
    <row r="20" spans="1:7" x14ac:dyDescent="0.25">
      <c r="A20" s="177" t="s">
        <v>313</v>
      </c>
      <c r="B20" s="178" t="s">
        <v>314</v>
      </c>
      <c r="C20" s="177" t="s">
        <v>121</v>
      </c>
      <c r="D20" s="179">
        <v>0.27</v>
      </c>
      <c r="E20" s="180">
        <v>4.25</v>
      </c>
      <c r="F20" s="181"/>
      <c r="G20" s="180">
        <f t="shared" si="0"/>
        <v>1.1499999999999999</v>
      </c>
    </row>
    <row r="21" spans="1:7" x14ac:dyDescent="0.25">
      <c r="A21" s="177" t="s">
        <v>125</v>
      </c>
      <c r="B21" s="178" t="s">
        <v>126</v>
      </c>
      <c r="C21" s="177" t="s">
        <v>124</v>
      </c>
      <c r="D21" s="179">
        <v>2</v>
      </c>
      <c r="E21" s="180">
        <v>2</v>
      </c>
      <c r="F21" s="181"/>
      <c r="G21" s="180">
        <f t="shared" si="0"/>
        <v>4</v>
      </c>
    </row>
    <row r="22" spans="1:7" x14ac:dyDescent="0.25">
      <c r="A22" s="177" t="s">
        <v>315</v>
      </c>
      <c r="B22" s="178" t="s">
        <v>316</v>
      </c>
      <c r="C22" s="177" t="s">
        <v>48</v>
      </c>
      <c r="D22" s="179">
        <v>0.8</v>
      </c>
      <c r="E22" s="180">
        <v>1.96</v>
      </c>
      <c r="F22" s="181"/>
      <c r="G22" s="180">
        <f t="shared" si="0"/>
        <v>1.57</v>
      </c>
    </row>
    <row r="23" spans="1:7" x14ac:dyDescent="0.25">
      <c r="A23" s="177" t="s">
        <v>317</v>
      </c>
      <c r="B23" s="178" t="s">
        <v>318</v>
      </c>
      <c r="C23" s="177" t="s">
        <v>129</v>
      </c>
      <c r="D23" s="179">
        <v>3.6</v>
      </c>
      <c r="E23" s="180">
        <v>3.3</v>
      </c>
      <c r="F23" s="181"/>
      <c r="G23" s="180">
        <f t="shared" si="0"/>
        <v>11.88</v>
      </c>
    </row>
    <row r="24" spans="1:7" x14ac:dyDescent="0.25">
      <c r="A24" s="177" t="s">
        <v>319</v>
      </c>
      <c r="B24" s="178" t="s">
        <v>320</v>
      </c>
      <c r="C24" s="177" t="s">
        <v>38</v>
      </c>
      <c r="D24" s="179">
        <v>1</v>
      </c>
      <c r="E24" s="180">
        <v>5.2</v>
      </c>
      <c r="F24" s="181"/>
      <c r="G24" s="180">
        <f t="shared" si="0"/>
        <v>5.2</v>
      </c>
    </row>
    <row r="25" spans="1:7" x14ac:dyDescent="0.25">
      <c r="A25" s="171" t="s">
        <v>321</v>
      </c>
      <c r="B25" s="182" t="s">
        <v>322</v>
      </c>
      <c r="C25" s="171" t="s">
        <v>118</v>
      </c>
      <c r="D25" s="173">
        <v>1</v>
      </c>
      <c r="E25" s="174">
        <v>0.88</v>
      </c>
      <c r="F25" s="183"/>
      <c r="G25" s="174">
        <f t="shared" si="0"/>
        <v>0.88</v>
      </c>
    </row>
    <row r="26" spans="1:7" x14ac:dyDescent="0.25">
      <c r="A26" s="378" t="s">
        <v>25</v>
      </c>
      <c r="B26" s="378"/>
      <c r="C26" s="378"/>
      <c r="D26" s="378"/>
      <c r="E26" s="378"/>
      <c r="F26" s="378"/>
      <c r="G26" s="56">
        <f>SUM(G18:G25)</f>
        <v>25.27</v>
      </c>
    </row>
    <row r="27" spans="1:7" x14ac:dyDescent="0.25">
      <c r="A27" s="45"/>
      <c r="B27" s="46"/>
      <c r="C27" s="45"/>
      <c r="D27" s="47"/>
      <c r="E27" s="48"/>
      <c r="F27" s="47"/>
      <c r="G27" s="48"/>
    </row>
    <row r="28" spans="1:7" x14ac:dyDescent="0.25">
      <c r="A28" s="380" t="s">
        <v>26</v>
      </c>
      <c r="B28" s="381"/>
      <c r="C28" s="381"/>
      <c r="D28" s="381"/>
      <c r="E28" s="381"/>
      <c r="F28" s="381"/>
      <c r="G28" s="382"/>
    </row>
    <row r="29" spans="1:7" x14ac:dyDescent="0.25">
      <c r="A29" s="72" t="s">
        <v>18</v>
      </c>
      <c r="B29" s="72" t="s">
        <v>19</v>
      </c>
      <c r="C29" s="72" t="s">
        <v>3</v>
      </c>
      <c r="D29" s="72" t="s">
        <v>4</v>
      </c>
      <c r="E29" s="72" t="s">
        <v>27</v>
      </c>
      <c r="F29" s="72" t="s">
        <v>28</v>
      </c>
      <c r="G29" s="72" t="s">
        <v>22</v>
      </c>
    </row>
    <row r="30" spans="1:7" x14ac:dyDescent="0.25">
      <c r="A30" s="160"/>
      <c r="B30" s="161"/>
      <c r="C30" s="160"/>
      <c r="D30" s="162"/>
      <c r="E30" s="163"/>
      <c r="F30" s="131"/>
      <c r="G30" s="52"/>
    </row>
    <row r="31" spans="1:7" x14ac:dyDescent="0.25">
      <c r="A31" s="378" t="s">
        <v>29</v>
      </c>
      <c r="B31" s="379"/>
      <c r="C31" s="379"/>
      <c r="D31" s="379"/>
      <c r="E31" s="379"/>
      <c r="F31" s="379"/>
      <c r="G31" s="56">
        <v>0</v>
      </c>
    </row>
    <row r="32" spans="1:7" x14ac:dyDescent="0.25">
      <c r="A32" s="45"/>
      <c r="B32" s="46"/>
      <c r="C32" s="45"/>
      <c r="D32" s="47"/>
      <c r="E32" s="48"/>
      <c r="F32" s="47"/>
      <c r="G32" s="48"/>
    </row>
    <row r="33" spans="1:7" x14ac:dyDescent="0.25">
      <c r="A33" s="380" t="s">
        <v>30</v>
      </c>
      <c r="B33" s="381"/>
      <c r="C33" s="381"/>
      <c r="D33" s="381"/>
      <c r="E33" s="381"/>
      <c r="F33" s="381"/>
      <c r="G33" s="382"/>
    </row>
    <row r="34" spans="1:7" x14ac:dyDescent="0.25">
      <c r="A34" s="72" t="s">
        <v>18</v>
      </c>
      <c r="B34" s="72" t="s">
        <v>19</v>
      </c>
      <c r="C34" s="72"/>
      <c r="D34" s="72" t="s">
        <v>31</v>
      </c>
      <c r="E34" s="72" t="s">
        <v>32</v>
      </c>
      <c r="F34" s="72" t="s">
        <v>21</v>
      </c>
      <c r="G34" s="72" t="s">
        <v>22</v>
      </c>
    </row>
    <row r="35" spans="1:7" x14ac:dyDescent="0.25">
      <c r="A35" s="167" t="s">
        <v>74</v>
      </c>
      <c r="B35" s="175" t="s">
        <v>75</v>
      </c>
      <c r="C35" s="184"/>
      <c r="D35" s="169">
        <v>1</v>
      </c>
      <c r="E35" s="170">
        <v>3.41</v>
      </c>
      <c r="F35" s="169">
        <v>1.4</v>
      </c>
      <c r="G35" s="170">
        <f>ROUND(D35*E35*F35,2)</f>
        <v>4.7699999999999996</v>
      </c>
    </row>
    <row r="36" spans="1:7" x14ac:dyDescent="0.25">
      <c r="A36" s="171" t="s">
        <v>76</v>
      </c>
      <c r="B36" s="182" t="s">
        <v>77</v>
      </c>
      <c r="C36" s="186"/>
      <c r="D36" s="173">
        <v>1</v>
      </c>
      <c r="E36" s="174">
        <v>3.45</v>
      </c>
      <c r="F36" s="173">
        <v>1.4</v>
      </c>
      <c r="G36" s="174">
        <f>ROUND(D36*E36*F36,2)</f>
        <v>4.83</v>
      </c>
    </row>
    <row r="37" spans="1:7" x14ac:dyDescent="0.25">
      <c r="A37" s="378" t="s">
        <v>33</v>
      </c>
      <c r="B37" s="378"/>
      <c r="C37" s="378"/>
      <c r="D37" s="378"/>
      <c r="E37" s="378"/>
      <c r="F37" s="378"/>
      <c r="G37" s="56">
        <f>SUM(G35:G36)</f>
        <v>9.6</v>
      </c>
    </row>
    <row r="38" spans="1:7" x14ac:dyDescent="0.25">
      <c r="A38" s="45"/>
      <c r="B38" s="46"/>
      <c r="C38" s="45"/>
      <c r="D38" s="47"/>
      <c r="E38" s="48"/>
      <c r="F38" s="47"/>
      <c r="G38" s="48"/>
    </row>
    <row r="39" spans="1:7" x14ac:dyDescent="0.25">
      <c r="A39" s="383" t="s">
        <v>34</v>
      </c>
      <c r="B39" s="384"/>
      <c r="C39" s="384"/>
      <c r="D39" s="384"/>
      <c r="E39" s="384"/>
      <c r="F39" s="384"/>
      <c r="G39" s="58">
        <f>+G37+G31+G26+G14</f>
        <v>37.86</v>
      </c>
    </row>
    <row r="40" spans="1:7" x14ac:dyDescent="0.25">
      <c r="A40" s="100"/>
      <c r="B40" s="101"/>
      <c r="C40" s="101"/>
      <c r="D40" s="101"/>
      <c r="E40" s="101"/>
      <c r="F40" s="101"/>
      <c r="G40" s="58"/>
    </row>
    <row r="41" spans="1:7" x14ac:dyDescent="0.25">
      <c r="A41" s="385" t="s">
        <v>35</v>
      </c>
      <c r="B41" s="386"/>
      <c r="C41" s="386"/>
      <c r="D41" s="386"/>
      <c r="E41" s="386"/>
      <c r="F41" s="386"/>
      <c r="G41" s="387"/>
    </row>
    <row r="42" spans="1:7" x14ac:dyDescent="0.25">
      <c r="A42" s="383" t="s">
        <v>78</v>
      </c>
      <c r="B42" s="384"/>
      <c r="C42" s="384"/>
      <c r="D42" s="384"/>
      <c r="E42" s="384"/>
      <c r="F42" s="384"/>
      <c r="G42" s="58">
        <f>ROUND(0.21*G39,2)</f>
        <v>7.95</v>
      </c>
    </row>
    <row r="43" spans="1:7" x14ac:dyDescent="0.25">
      <c r="A43" s="45"/>
      <c r="B43" s="46"/>
      <c r="C43" s="45"/>
      <c r="D43" s="47"/>
      <c r="E43" s="48"/>
      <c r="F43" s="47"/>
      <c r="G43" s="48"/>
    </row>
    <row r="44" spans="1:7" x14ac:dyDescent="0.25">
      <c r="A44" s="376" t="s">
        <v>36</v>
      </c>
      <c r="B44" s="377"/>
      <c r="C44" s="377"/>
      <c r="D44" s="377"/>
      <c r="E44" s="377"/>
      <c r="F44" s="377"/>
      <c r="G44" s="166">
        <f>G39+G42</f>
        <v>45.81</v>
      </c>
    </row>
  </sheetData>
  <mergeCells count="19">
    <mergeCell ref="A44:F44"/>
    <mergeCell ref="A31:F31"/>
    <mergeCell ref="A33:G33"/>
    <mergeCell ref="A37:F37"/>
    <mergeCell ref="A39:F39"/>
    <mergeCell ref="A41:G41"/>
    <mergeCell ref="A42:F42"/>
    <mergeCell ref="A28:G28"/>
    <mergeCell ref="A1:F1"/>
    <mergeCell ref="B2:D2"/>
    <mergeCell ref="F2:G2"/>
    <mergeCell ref="B4:G4"/>
    <mergeCell ref="B5:G5"/>
    <mergeCell ref="B6:G6"/>
    <mergeCell ref="A8:G8"/>
    <mergeCell ref="A10:G10"/>
    <mergeCell ref="A14:F14"/>
    <mergeCell ref="A16:G16"/>
    <mergeCell ref="A26:F26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M21" sqref="M21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99">
        <f>Presupuesto!B46</f>
        <v>39</v>
      </c>
      <c r="C3" s="97"/>
      <c r="D3" s="97"/>
      <c r="E3" s="37"/>
      <c r="F3" s="98"/>
      <c r="G3" s="98"/>
    </row>
    <row r="4" spans="1:7" x14ac:dyDescent="0.25">
      <c r="A4" s="37" t="s">
        <v>13</v>
      </c>
      <c r="B4" s="414" t="str">
        <f>Presupuesto!C46</f>
        <v>501352M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Presupuesto!D46</f>
        <v>Retiro y reutilización de malla galvanizada No.10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Presupuesto!E46</f>
        <v>m2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 t="s">
        <v>79</v>
      </c>
      <c r="B12" s="49" t="s">
        <v>80</v>
      </c>
      <c r="C12" s="50" t="s">
        <v>81</v>
      </c>
      <c r="D12" s="51" t="s">
        <v>106</v>
      </c>
      <c r="E12" s="52"/>
      <c r="F12" s="51"/>
      <c r="G12" s="52">
        <f>ROUND(0.05*G29,2)</f>
        <v>0.09</v>
      </c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f>G12</f>
        <v>0.09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x14ac:dyDescent="0.25">
      <c r="A17" s="50"/>
      <c r="B17" s="164"/>
      <c r="C17" s="50"/>
      <c r="D17" s="51"/>
      <c r="E17" s="52"/>
      <c r="F17" s="234"/>
      <c r="G17" s="52"/>
    </row>
    <row r="18" spans="1:7" x14ac:dyDescent="0.25">
      <c r="A18" s="378" t="s">
        <v>25</v>
      </c>
      <c r="B18" s="378"/>
      <c r="C18" s="378"/>
      <c r="D18" s="378"/>
      <c r="E18" s="378"/>
      <c r="F18" s="378"/>
      <c r="G18" s="56">
        <v>0</v>
      </c>
    </row>
    <row r="19" spans="1:7" x14ac:dyDescent="0.25">
      <c r="A19" s="45"/>
      <c r="B19" s="46"/>
      <c r="C19" s="45"/>
      <c r="D19" s="47"/>
      <c r="E19" s="48"/>
      <c r="F19" s="47"/>
      <c r="G19" s="48"/>
    </row>
    <row r="20" spans="1:7" x14ac:dyDescent="0.25">
      <c r="A20" s="380" t="s">
        <v>26</v>
      </c>
      <c r="B20" s="381"/>
      <c r="C20" s="381"/>
      <c r="D20" s="381"/>
      <c r="E20" s="381"/>
      <c r="F20" s="381"/>
      <c r="G20" s="382"/>
    </row>
    <row r="21" spans="1:7" x14ac:dyDescent="0.25">
      <c r="A21" s="72" t="s">
        <v>18</v>
      </c>
      <c r="B21" s="72" t="s">
        <v>19</v>
      </c>
      <c r="C21" s="72" t="s">
        <v>3</v>
      </c>
      <c r="D21" s="72" t="s">
        <v>4</v>
      </c>
      <c r="E21" s="72" t="s">
        <v>27</v>
      </c>
      <c r="F21" s="72" t="s">
        <v>28</v>
      </c>
      <c r="G21" s="72" t="s">
        <v>22</v>
      </c>
    </row>
    <row r="22" spans="1:7" x14ac:dyDescent="0.25">
      <c r="A22" s="160"/>
      <c r="B22" s="161"/>
      <c r="C22" s="160"/>
      <c r="D22" s="162"/>
      <c r="E22" s="163"/>
      <c r="F22" s="131"/>
      <c r="G22" s="52"/>
    </row>
    <row r="23" spans="1:7" x14ac:dyDescent="0.25">
      <c r="A23" s="378" t="s">
        <v>29</v>
      </c>
      <c r="B23" s="379"/>
      <c r="C23" s="379"/>
      <c r="D23" s="379"/>
      <c r="E23" s="379"/>
      <c r="F23" s="379"/>
      <c r="G23" s="56">
        <v>0</v>
      </c>
    </row>
    <row r="24" spans="1:7" x14ac:dyDescent="0.25">
      <c r="A24" s="45"/>
      <c r="B24" s="46"/>
      <c r="C24" s="45"/>
      <c r="D24" s="47"/>
      <c r="E24" s="48"/>
      <c r="F24" s="47"/>
      <c r="G24" s="48"/>
    </row>
    <row r="25" spans="1:7" x14ac:dyDescent="0.25">
      <c r="A25" s="380" t="s">
        <v>30</v>
      </c>
      <c r="B25" s="381"/>
      <c r="C25" s="381"/>
      <c r="D25" s="381"/>
      <c r="E25" s="381"/>
      <c r="F25" s="381"/>
      <c r="G25" s="382"/>
    </row>
    <row r="26" spans="1:7" x14ac:dyDescent="0.25">
      <c r="A26" s="72" t="s">
        <v>18</v>
      </c>
      <c r="B26" s="72" t="s">
        <v>19</v>
      </c>
      <c r="C26" s="72"/>
      <c r="D26" s="72" t="s">
        <v>31</v>
      </c>
      <c r="E26" s="72" t="s">
        <v>32</v>
      </c>
      <c r="F26" s="72" t="s">
        <v>21</v>
      </c>
      <c r="G26" s="72" t="s">
        <v>22</v>
      </c>
    </row>
    <row r="27" spans="1:7" x14ac:dyDescent="0.25">
      <c r="A27" s="167" t="s">
        <v>74</v>
      </c>
      <c r="B27" s="175" t="s">
        <v>75</v>
      </c>
      <c r="C27" s="184"/>
      <c r="D27" s="169">
        <v>1</v>
      </c>
      <c r="E27" s="170">
        <v>3.41</v>
      </c>
      <c r="F27" s="169">
        <v>0.25</v>
      </c>
      <c r="G27" s="170">
        <f>ROUND(D27*E27*F27,2)</f>
        <v>0.85</v>
      </c>
    </row>
    <row r="28" spans="1:7" x14ac:dyDescent="0.25">
      <c r="A28" s="171" t="s">
        <v>76</v>
      </c>
      <c r="B28" s="182" t="s">
        <v>77</v>
      </c>
      <c r="C28" s="186"/>
      <c r="D28" s="173">
        <v>1</v>
      </c>
      <c r="E28" s="174">
        <v>3.45</v>
      </c>
      <c r="F28" s="173">
        <v>0.25</v>
      </c>
      <c r="G28" s="174">
        <f>ROUND(D28*E28*F28,2)</f>
        <v>0.86</v>
      </c>
    </row>
    <row r="29" spans="1:7" x14ac:dyDescent="0.25">
      <c r="A29" s="378" t="s">
        <v>33</v>
      </c>
      <c r="B29" s="378"/>
      <c r="C29" s="378"/>
      <c r="D29" s="378"/>
      <c r="E29" s="378"/>
      <c r="F29" s="378"/>
      <c r="G29" s="56">
        <f>SUM(G27:G28)</f>
        <v>1.71</v>
      </c>
    </row>
    <row r="30" spans="1:7" x14ac:dyDescent="0.25">
      <c r="A30" s="45"/>
      <c r="B30" s="46"/>
      <c r="C30" s="45"/>
      <c r="D30" s="47"/>
      <c r="E30" s="48"/>
      <c r="F30" s="47"/>
      <c r="G30" s="48"/>
    </row>
    <row r="31" spans="1:7" x14ac:dyDescent="0.25">
      <c r="A31" s="383" t="s">
        <v>34</v>
      </c>
      <c r="B31" s="384"/>
      <c r="C31" s="384"/>
      <c r="D31" s="384"/>
      <c r="E31" s="384"/>
      <c r="F31" s="384"/>
      <c r="G31" s="58">
        <f>+G29+G23+G18+G13</f>
        <v>1.8</v>
      </c>
    </row>
    <row r="32" spans="1:7" x14ac:dyDescent="0.25">
      <c r="A32" s="100"/>
      <c r="B32" s="101"/>
      <c r="C32" s="101"/>
      <c r="D32" s="101"/>
      <c r="E32" s="101"/>
      <c r="F32" s="101"/>
      <c r="G32" s="58"/>
    </row>
    <row r="33" spans="1:7" x14ac:dyDescent="0.25">
      <c r="A33" s="385" t="s">
        <v>35</v>
      </c>
      <c r="B33" s="386"/>
      <c r="C33" s="386"/>
      <c r="D33" s="386"/>
      <c r="E33" s="386"/>
      <c r="F33" s="386"/>
      <c r="G33" s="387"/>
    </row>
    <row r="34" spans="1:7" x14ac:dyDescent="0.25">
      <c r="A34" s="383" t="s">
        <v>78</v>
      </c>
      <c r="B34" s="384"/>
      <c r="C34" s="384"/>
      <c r="D34" s="384"/>
      <c r="E34" s="384"/>
      <c r="F34" s="384"/>
      <c r="G34" s="58">
        <f>ROUND(0.21*G31,2)</f>
        <v>0.38</v>
      </c>
    </row>
    <row r="35" spans="1:7" x14ac:dyDescent="0.25">
      <c r="A35" s="45"/>
      <c r="B35" s="46"/>
      <c r="C35" s="45"/>
      <c r="D35" s="47"/>
      <c r="E35" s="48"/>
      <c r="F35" s="47"/>
      <c r="G35" s="48"/>
    </row>
    <row r="36" spans="1:7" x14ac:dyDescent="0.25">
      <c r="A36" s="376" t="s">
        <v>36</v>
      </c>
      <c r="B36" s="377"/>
      <c r="C36" s="377"/>
      <c r="D36" s="377"/>
      <c r="E36" s="377"/>
      <c r="F36" s="377"/>
      <c r="G36" s="166">
        <f>G31+G34</f>
        <v>2.1800000000000002</v>
      </c>
    </row>
  </sheetData>
  <mergeCells count="19">
    <mergeCell ref="A36:F36"/>
    <mergeCell ref="A23:F23"/>
    <mergeCell ref="A25:G25"/>
    <mergeCell ref="A29:F29"/>
    <mergeCell ref="A31:F31"/>
    <mergeCell ref="A33:G33"/>
    <mergeCell ref="A34:F34"/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M18" sqref="M18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07">
        <f>Presupuesto!B47</f>
        <v>40</v>
      </c>
      <c r="C3" s="105"/>
      <c r="D3" s="105"/>
      <c r="E3" s="37"/>
      <c r="F3" s="106"/>
      <c r="G3" s="106"/>
    </row>
    <row r="4" spans="1:7" x14ac:dyDescent="0.25">
      <c r="A4" s="37" t="s">
        <v>13</v>
      </c>
      <c r="B4" s="414" t="str">
        <f>Presupuesto!C47</f>
        <v>500003A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36" t="str">
        <f>Presupuesto!D47</f>
        <v>Suministro de químico para limpieza y mantenimiento de baños portátiles de fabricación nacional</v>
      </c>
      <c r="C5" s="437"/>
      <c r="D5" s="437"/>
      <c r="E5" s="437"/>
      <c r="F5" s="437"/>
      <c r="G5" s="437"/>
    </row>
    <row r="6" spans="1:7" x14ac:dyDescent="0.25">
      <c r="A6" s="37" t="s">
        <v>15</v>
      </c>
      <c r="B6" s="414" t="str">
        <f>Presupuesto!E47</f>
        <v>caneca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/>
      <c r="B12" s="49"/>
      <c r="C12" s="50"/>
      <c r="D12" s="51"/>
      <c r="E12" s="52"/>
      <c r="F12" s="51"/>
      <c r="G12" s="52"/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v>0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ht="41.4" x14ac:dyDescent="0.25">
      <c r="A17" s="50" t="s">
        <v>228</v>
      </c>
      <c r="B17" s="245" t="s">
        <v>339</v>
      </c>
      <c r="C17" s="50" t="s">
        <v>337</v>
      </c>
      <c r="D17" s="51">
        <v>1</v>
      </c>
      <c r="E17" s="52">
        <f>260*1.14</f>
        <v>296.39999999999998</v>
      </c>
      <c r="F17" s="234"/>
      <c r="G17" s="52">
        <f>ROUND(D17*E17,2)</f>
        <v>296.39999999999998</v>
      </c>
    </row>
    <row r="18" spans="1:7" x14ac:dyDescent="0.25">
      <c r="A18" s="378" t="s">
        <v>25</v>
      </c>
      <c r="B18" s="378"/>
      <c r="C18" s="378"/>
      <c r="D18" s="378"/>
      <c r="E18" s="378"/>
      <c r="F18" s="378"/>
      <c r="G18" s="56">
        <f>G17</f>
        <v>296.39999999999998</v>
      </c>
    </row>
    <row r="19" spans="1:7" x14ac:dyDescent="0.25">
      <c r="A19" s="45"/>
      <c r="B19" s="46"/>
      <c r="C19" s="45"/>
      <c r="D19" s="47"/>
      <c r="E19" s="48"/>
      <c r="F19" s="47"/>
      <c r="G19" s="48"/>
    </row>
    <row r="20" spans="1:7" x14ac:dyDescent="0.25">
      <c r="A20" s="380" t="s">
        <v>26</v>
      </c>
      <c r="B20" s="381"/>
      <c r="C20" s="381"/>
      <c r="D20" s="381"/>
      <c r="E20" s="381"/>
      <c r="F20" s="381"/>
      <c r="G20" s="382"/>
    </row>
    <row r="21" spans="1:7" x14ac:dyDescent="0.25">
      <c r="A21" s="72" t="s">
        <v>18</v>
      </c>
      <c r="B21" s="72" t="s">
        <v>19</v>
      </c>
      <c r="C21" s="72" t="s">
        <v>3</v>
      </c>
      <c r="D21" s="72" t="s">
        <v>4</v>
      </c>
      <c r="E21" s="72" t="s">
        <v>27</v>
      </c>
      <c r="F21" s="72" t="s">
        <v>28</v>
      </c>
      <c r="G21" s="72" t="s">
        <v>22</v>
      </c>
    </row>
    <row r="22" spans="1:7" x14ac:dyDescent="0.25">
      <c r="A22" s="160"/>
      <c r="B22" s="161"/>
      <c r="C22" s="160"/>
      <c r="D22" s="162"/>
      <c r="E22" s="163"/>
      <c r="F22" s="131"/>
      <c r="G22" s="52"/>
    </row>
    <row r="23" spans="1:7" x14ac:dyDescent="0.25">
      <c r="A23" s="378" t="s">
        <v>29</v>
      </c>
      <c r="B23" s="379"/>
      <c r="C23" s="379"/>
      <c r="D23" s="379"/>
      <c r="E23" s="379"/>
      <c r="F23" s="379"/>
      <c r="G23" s="56">
        <v>0</v>
      </c>
    </row>
    <row r="24" spans="1:7" x14ac:dyDescent="0.25">
      <c r="A24" s="45"/>
      <c r="B24" s="46"/>
      <c r="C24" s="45"/>
      <c r="D24" s="47"/>
      <c r="E24" s="48"/>
      <c r="F24" s="47"/>
      <c r="G24" s="48"/>
    </row>
    <row r="25" spans="1:7" x14ac:dyDescent="0.25">
      <c r="A25" s="380" t="s">
        <v>30</v>
      </c>
      <c r="B25" s="381"/>
      <c r="C25" s="381"/>
      <c r="D25" s="381"/>
      <c r="E25" s="381"/>
      <c r="F25" s="381"/>
      <c r="G25" s="382"/>
    </row>
    <row r="26" spans="1:7" x14ac:dyDescent="0.25">
      <c r="A26" s="72" t="s">
        <v>18</v>
      </c>
      <c r="B26" s="72" t="s">
        <v>19</v>
      </c>
      <c r="C26" s="72"/>
      <c r="D26" s="72" t="s">
        <v>31</v>
      </c>
      <c r="E26" s="72" t="s">
        <v>32</v>
      </c>
      <c r="F26" s="72" t="s">
        <v>21</v>
      </c>
      <c r="G26" s="72" t="s">
        <v>22</v>
      </c>
    </row>
    <row r="27" spans="1:7" x14ac:dyDescent="0.25">
      <c r="A27" s="50"/>
      <c r="B27" s="164"/>
      <c r="C27" s="165"/>
      <c r="D27" s="51"/>
      <c r="E27" s="52"/>
      <c r="F27" s="51"/>
      <c r="G27" s="52"/>
    </row>
    <row r="28" spans="1:7" x14ac:dyDescent="0.25">
      <c r="A28" s="378" t="s">
        <v>33</v>
      </c>
      <c r="B28" s="378"/>
      <c r="C28" s="378"/>
      <c r="D28" s="378"/>
      <c r="E28" s="378"/>
      <c r="F28" s="378"/>
      <c r="G28" s="56">
        <v>0</v>
      </c>
    </row>
    <row r="29" spans="1:7" x14ac:dyDescent="0.25">
      <c r="A29" s="45"/>
      <c r="B29" s="46"/>
      <c r="C29" s="45"/>
      <c r="D29" s="47"/>
      <c r="E29" s="48"/>
      <c r="F29" s="47"/>
      <c r="G29" s="48"/>
    </row>
    <row r="30" spans="1:7" x14ac:dyDescent="0.25">
      <c r="A30" s="383" t="s">
        <v>34</v>
      </c>
      <c r="B30" s="384"/>
      <c r="C30" s="384"/>
      <c r="D30" s="384"/>
      <c r="E30" s="384"/>
      <c r="F30" s="384"/>
      <c r="G30" s="58">
        <f>G13+G18+G23+G28</f>
        <v>296.39999999999998</v>
      </c>
    </row>
    <row r="31" spans="1:7" x14ac:dyDescent="0.25">
      <c r="A31" s="103"/>
      <c r="B31" s="104"/>
      <c r="C31" s="104"/>
      <c r="D31" s="104"/>
      <c r="E31" s="104"/>
      <c r="F31" s="104"/>
      <c r="G31" s="58"/>
    </row>
    <row r="32" spans="1:7" x14ac:dyDescent="0.25">
      <c r="A32" s="385" t="s">
        <v>35</v>
      </c>
      <c r="B32" s="386"/>
      <c r="C32" s="386"/>
      <c r="D32" s="386"/>
      <c r="E32" s="386"/>
      <c r="F32" s="386"/>
      <c r="G32" s="387"/>
    </row>
    <row r="33" spans="1:7" x14ac:dyDescent="0.25">
      <c r="A33" s="383" t="s">
        <v>78</v>
      </c>
      <c r="B33" s="384"/>
      <c r="C33" s="384"/>
      <c r="D33" s="384"/>
      <c r="E33" s="384"/>
      <c r="F33" s="384"/>
      <c r="G33" s="58">
        <f>ROUND(G30*0.21,2)</f>
        <v>62.24</v>
      </c>
    </row>
    <row r="34" spans="1:7" x14ac:dyDescent="0.25">
      <c r="A34" s="45"/>
      <c r="B34" s="46"/>
      <c r="C34" s="45"/>
      <c r="D34" s="47"/>
      <c r="E34" s="48"/>
      <c r="F34" s="47"/>
      <c r="G34" s="48"/>
    </row>
    <row r="35" spans="1:7" x14ac:dyDescent="0.25">
      <c r="A35" s="376" t="s">
        <v>36</v>
      </c>
      <c r="B35" s="377"/>
      <c r="C35" s="377"/>
      <c r="D35" s="377"/>
      <c r="E35" s="377"/>
      <c r="F35" s="377"/>
      <c r="G35" s="166">
        <f>G30+G33</f>
        <v>358.64</v>
      </c>
    </row>
  </sheetData>
  <mergeCells count="19"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  <mergeCell ref="A35:F35"/>
    <mergeCell ref="A23:F23"/>
    <mergeCell ref="A25:G25"/>
    <mergeCell ref="A28:F28"/>
    <mergeCell ref="A30:F30"/>
    <mergeCell ref="A32:G32"/>
    <mergeCell ref="A33:F33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N20" sqref="N20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16">
        <f>Presupuesto!B48</f>
        <v>41</v>
      </c>
      <c r="C3" s="114"/>
      <c r="D3" s="114"/>
      <c r="E3" s="37"/>
      <c r="F3" s="115"/>
      <c r="G3" s="115"/>
    </row>
    <row r="4" spans="1:7" x14ac:dyDescent="0.25">
      <c r="A4" s="37" t="s">
        <v>13</v>
      </c>
      <c r="B4" s="414" t="str">
        <f>Presupuesto!C48</f>
        <v>500004A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Presupuesto!D48</f>
        <v>Anclajes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Presupuesto!E48</f>
        <v>u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/>
      <c r="B12" s="49"/>
      <c r="C12" s="50"/>
      <c r="D12" s="51"/>
      <c r="E12" s="52"/>
      <c r="F12" s="51"/>
      <c r="G12" s="52"/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v>0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x14ac:dyDescent="0.25">
      <c r="A17" s="50" t="s">
        <v>228</v>
      </c>
      <c r="B17" s="164" t="s">
        <v>393</v>
      </c>
      <c r="C17" s="50" t="s">
        <v>48</v>
      </c>
      <c r="D17" s="51">
        <v>1</v>
      </c>
      <c r="E17" s="52">
        <v>10</v>
      </c>
      <c r="F17" s="234"/>
      <c r="G17" s="52">
        <f>ROUND(D17*E17,2)</f>
        <v>10</v>
      </c>
    </row>
    <row r="18" spans="1:7" x14ac:dyDescent="0.25">
      <c r="A18" s="54"/>
      <c r="B18" s="53"/>
      <c r="C18" s="54"/>
      <c r="D18" s="55"/>
      <c r="E18" s="56"/>
      <c r="F18" s="57"/>
      <c r="G18" s="56"/>
    </row>
    <row r="19" spans="1:7" x14ac:dyDescent="0.25">
      <c r="A19" s="54"/>
      <c r="B19" s="53"/>
      <c r="C19" s="54"/>
      <c r="D19" s="55"/>
      <c r="E19" s="56"/>
      <c r="F19" s="57"/>
      <c r="G19" s="56"/>
    </row>
    <row r="20" spans="1:7" x14ac:dyDescent="0.25">
      <c r="A20" s="54"/>
      <c r="B20" s="53"/>
      <c r="C20" s="54"/>
      <c r="D20" s="55"/>
      <c r="E20" s="56"/>
      <c r="F20" s="57"/>
      <c r="G20" s="56"/>
    </row>
    <row r="21" spans="1:7" x14ac:dyDescent="0.25">
      <c r="A21" s="378" t="s">
        <v>25</v>
      </c>
      <c r="B21" s="378"/>
      <c r="C21" s="378"/>
      <c r="D21" s="378"/>
      <c r="E21" s="378"/>
      <c r="F21" s="378"/>
      <c r="G21" s="56">
        <f>SUM(G17:G20)</f>
        <v>10</v>
      </c>
    </row>
    <row r="22" spans="1:7" x14ac:dyDescent="0.25">
      <c r="A22" s="45"/>
      <c r="B22" s="46"/>
      <c r="C22" s="45"/>
      <c r="D22" s="47"/>
      <c r="E22" s="48"/>
      <c r="F22" s="47"/>
      <c r="G22" s="48"/>
    </row>
    <row r="23" spans="1:7" x14ac:dyDescent="0.25">
      <c r="A23" s="380" t="s">
        <v>26</v>
      </c>
      <c r="B23" s="381"/>
      <c r="C23" s="381"/>
      <c r="D23" s="381"/>
      <c r="E23" s="381"/>
      <c r="F23" s="381"/>
      <c r="G23" s="382"/>
    </row>
    <row r="24" spans="1:7" x14ac:dyDescent="0.25">
      <c r="A24" s="72" t="s">
        <v>18</v>
      </c>
      <c r="B24" s="72" t="s">
        <v>19</v>
      </c>
      <c r="C24" s="72" t="s">
        <v>3</v>
      </c>
      <c r="D24" s="72" t="s">
        <v>4</v>
      </c>
      <c r="E24" s="72" t="s">
        <v>27</v>
      </c>
      <c r="F24" s="72" t="s">
        <v>28</v>
      </c>
      <c r="G24" s="72" t="s">
        <v>22</v>
      </c>
    </row>
    <row r="25" spans="1:7" x14ac:dyDescent="0.25">
      <c r="A25" s="160"/>
      <c r="B25" s="161"/>
      <c r="C25" s="160"/>
      <c r="D25" s="162"/>
      <c r="E25" s="163"/>
      <c r="F25" s="131"/>
      <c r="G25" s="52"/>
    </row>
    <row r="26" spans="1:7" x14ac:dyDescent="0.25">
      <c r="A26" s="378" t="s">
        <v>29</v>
      </c>
      <c r="B26" s="379"/>
      <c r="C26" s="379"/>
      <c r="D26" s="379"/>
      <c r="E26" s="379"/>
      <c r="F26" s="379"/>
      <c r="G26" s="56">
        <v>0</v>
      </c>
    </row>
    <row r="27" spans="1:7" x14ac:dyDescent="0.25">
      <c r="A27" s="45"/>
      <c r="B27" s="46"/>
      <c r="C27" s="45"/>
      <c r="D27" s="47"/>
      <c r="E27" s="48"/>
      <c r="F27" s="47"/>
      <c r="G27" s="48"/>
    </row>
    <row r="28" spans="1:7" x14ac:dyDescent="0.25">
      <c r="A28" s="380" t="s">
        <v>30</v>
      </c>
      <c r="B28" s="381"/>
      <c r="C28" s="381"/>
      <c r="D28" s="381"/>
      <c r="E28" s="381"/>
      <c r="F28" s="381"/>
      <c r="G28" s="382"/>
    </row>
    <row r="29" spans="1:7" x14ac:dyDescent="0.25">
      <c r="A29" s="72" t="s">
        <v>18</v>
      </c>
      <c r="B29" s="72" t="s">
        <v>19</v>
      </c>
      <c r="C29" s="72"/>
      <c r="D29" s="72" t="s">
        <v>31</v>
      </c>
      <c r="E29" s="72" t="s">
        <v>32</v>
      </c>
      <c r="F29" s="72" t="s">
        <v>21</v>
      </c>
      <c r="G29" s="72" t="s">
        <v>22</v>
      </c>
    </row>
    <row r="30" spans="1:7" x14ac:dyDescent="0.25">
      <c r="A30" s="50" t="s">
        <v>74</v>
      </c>
      <c r="B30" s="164" t="s">
        <v>75</v>
      </c>
      <c r="C30" s="165"/>
      <c r="D30" s="51">
        <v>1</v>
      </c>
      <c r="E30" s="52">
        <v>3.41</v>
      </c>
      <c r="F30" s="51">
        <v>0.25</v>
      </c>
      <c r="G30" s="52">
        <f>ROUND(D30*E30*F30,2)</f>
        <v>0.85</v>
      </c>
    </row>
    <row r="31" spans="1:7" x14ac:dyDescent="0.25">
      <c r="A31" s="54" t="s">
        <v>76</v>
      </c>
      <c r="B31" s="53" t="s">
        <v>77</v>
      </c>
      <c r="C31" s="72"/>
      <c r="D31" s="55">
        <v>1</v>
      </c>
      <c r="E31" s="56">
        <v>3.45</v>
      </c>
      <c r="F31" s="55">
        <v>0.25</v>
      </c>
      <c r="G31" s="52">
        <f>ROUND(D31*E31*F31,2)</f>
        <v>0.86</v>
      </c>
    </row>
    <row r="32" spans="1:7" x14ac:dyDescent="0.25">
      <c r="A32" s="378" t="s">
        <v>33</v>
      </c>
      <c r="B32" s="378"/>
      <c r="C32" s="378"/>
      <c r="D32" s="378"/>
      <c r="E32" s="378"/>
      <c r="F32" s="378"/>
      <c r="G32" s="56">
        <f>SUM(G30:G31)</f>
        <v>1.71</v>
      </c>
    </row>
    <row r="33" spans="1:7" x14ac:dyDescent="0.25">
      <c r="A33" s="45"/>
      <c r="B33" s="46"/>
      <c r="C33" s="45"/>
      <c r="D33" s="47"/>
      <c r="E33" s="48"/>
      <c r="F33" s="47"/>
      <c r="G33" s="48"/>
    </row>
    <row r="34" spans="1:7" x14ac:dyDescent="0.25">
      <c r="A34" s="383" t="s">
        <v>34</v>
      </c>
      <c r="B34" s="384"/>
      <c r="C34" s="384"/>
      <c r="D34" s="384"/>
      <c r="E34" s="384"/>
      <c r="F34" s="384"/>
      <c r="G34" s="58">
        <f>G13+G21+G26+G32</f>
        <v>11.71</v>
      </c>
    </row>
    <row r="35" spans="1:7" x14ac:dyDescent="0.25">
      <c r="A35" s="117"/>
      <c r="B35" s="118"/>
      <c r="C35" s="118"/>
      <c r="D35" s="118"/>
      <c r="E35" s="118"/>
      <c r="F35" s="118"/>
      <c r="G35" s="58"/>
    </row>
    <row r="36" spans="1:7" x14ac:dyDescent="0.25">
      <c r="A36" s="385" t="s">
        <v>35</v>
      </c>
      <c r="B36" s="386"/>
      <c r="C36" s="386"/>
      <c r="D36" s="386"/>
      <c r="E36" s="386"/>
      <c r="F36" s="386"/>
      <c r="G36" s="387"/>
    </row>
    <row r="37" spans="1:7" x14ac:dyDescent="0.25">
      <c r="A37" s="383" t="s">
        <v>78</v>
      </c>
      <c r="B37" s="384"/>
      <c r="C37" s="384"/>
      <c r="D37" s="384"/>
      <c r="E37" s="384"/>
      <c r="F37" s="384"/>
      <c r="G37" s="58">
        <f>ROUND(0.21*G34,2)</f>
        <v>2.46</v>
      </c>
    </row>
    <row r="38" spans="1:7" x14ac:dyDescent="0.25">
      <c r="A38" s="45"/>
      <c r="B38" s="46"/>
      <c r="C38" s="45"/>
      <c r="D38" s="47"/>
      <c r="E38" s="48"/>
      <c r="F38" s="47"/>
      <c r="G38" s="48"/>
    </row>
    <row r="39" spans="1:7" x14ac:dyDescent="0.25">
      <c r="A39" s="376" t="s">
        <v>36</v>
      </c>
      <c r="B39" s="377"/>
      <c r="C39" s="377"/>
      <c r="D39" s="377"/>
      <c r="E39" s="377"/>
      <c r="F39" s="377"/>
      <c r="G39" s="166">
        <f>G34+G37</f>
        <v>14.170000000000002</v>
      </c>
    </row>
  </sheetData>
  <mergeCells count="19">
    <mergeCell ref="A39:F39"/>
    <mergeCell ref="A26:F26"/>
    <mergeCell ref="A28:G28"/>
    <mergeCell ref="A32:F32"/>
    <mergeCell ref="A34:F34"/>
    <mergeCell ref="A36:G36"/>
    <mergeCell ref="A37:F37"/>
    <mergeCell ref="A23:G23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1:F21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N21" sqref="N21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16">
        <f>Presupuesto!B49</f>
        <v>42</v>
      </c>
      <c r="C3" s="114"/>
      <c r="D3" s="114"/>
      <c r="E3" s="37"/>
      <c r="F3" s="115"/>
      <c r="G3" s="115"/>
    </row>
    <row r="4" spans="1:7" x14ac:dyDescent="0.25">
      <c r="A4" s="37" t="s">
        <v>13</v>
      </c>
      <c r="B4" s="414" t="str">
        <f>Presupuesto!C49</f>
        <v>500261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Presupuesto!D49</f>
        <v>Placas de anclaje 200x200x6mm. acero A-36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Presupuesto!E49</f>
        <v>u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/>
      <c r="B12" s="49"/>
      <c r="C12" s="50"/>
      <c r="D12" s="51"/>
      <c r="E12" s="52"/>
      <c r="F12" s="51"/>
      <c r="G12" s="52"/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v>0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x14ac:dyDescent="0.25">
      <c r="A17" s="50" t="s">
        <v>308</v>
      </c>
      <c r="B17" s="164" t="s">
        <v>309</v>
      </c>
      <c r="C17" s="50" t="s">
        <v>121</v>
      </c>
      <c r="D17" s="51">
        <v>0.03</v>
      </c>
      <c r="E17" s="52">
        <v>1.6</v>
      </c>
      <c r="F17" s="234"/>
      <c r="G17" s="52">
        <f>ROUND(D17*E17,2)</f>
        <v>0.05</v>
      </c>
    </row>
    <row r="18" spans="1:7" x14ac:dyDescent="0.25">
      <c r="A18" s="54" t="s">
        <v>390</v>
      </c>
      <c r="B18" s="53" t="s">
        <v>391</v>
      </c>
      <c r="C18" s="54" t="s">
        <v>121</v>
      </c>
      <c r="D18" s="55">
        <v>0.03</v>
      </c>
      <c r="E18" s="56">
        <v>4.25</v>
      </c>
      <c r="F18" s="57"/>
      <c r="G18" s="52">
        <f t="shared" ref="G18:G20" si="0">ROUND(D18*E18,2)</f>
        <v>0.13</v>
      </c>
    </row>
    <row r="19" spans="1:7" x14ac:dyDescent="0.25">
      <c r="A19" s="54" t="s">
        <v>392</v>
      </c>
      <c r="B19" s="53" t="s">
        <v>403</v>
      </c>
      <c r="C19" s="54" t="s">
        <v>48</v>
      </c>
      <c r="D19" s="55">
        <v>1</v>
      </c>
      <c r="E19" s="56">
        <v>6</v>
      </c>
      <c r="F19" s="57"/>
      <c r="G19" s="52">
        <f t="shared" si="0"/>
        <v>6</v>
      </c>
    </row>
    <row r="20" spans="1:7" x14ac:dyDescent="0.25">
      <c r="A20" s="54" t="s">
        <v>310</v>
      </c>
      <c r="B20" s="53" t="s">
        <v>311</v>
      </c>
      <c r="C20" s="54" t="s">
        <v>312</v>
      </c>
      <c r="D20" s="55">
        <v>0.1</v>
      </c>
      <c r="E20" s="56">
        <v>0.6</v>
      </c>
      <c r="F20" s="57"/>
      <c r="G20" s="52">
        <f t="shared" si="0"/>
        <v>0.06</v>
      </c>
    </row>
    <row r="21" spans="1:7" x14ac:dyDescent="0.25">
      <c r="A21" s="378" t="s">
        <v>25</v>
      </c>
      <c r="B21" s="378"/>
      <c r="C21" s="378"/>
      <c r="D21" s="378"/>
      <c r="E21" s="378"/>
      <c r="F21" s="378"/>
      <c r="G21" s="56">
        <f>SUM(G17:G20)</f>
        <v>6.2399999999999993</v>
      </c>
    </row>
    <row r="22" spans="1:7" x14ac:dyDescent="0.25">
      <c r="A22" s="45"/>
      <c r="B22" s="46"/>
      <c r="C22" s="45"/>
      <c r="D22" s="47"/>
      <c r="E22" s="48"/>
      <c r="F22" s="47"/>
      <c r="G22" s="48"/>
    </row>
    <row r="23" spans="1:7" x14ac:dyDescent="0.25">
      <c r="A23" s="380" t="s">
        <v>26</v>
      </c>
      <c r="B23" s="381"/>
      <c r="C23" s="381"/>
      <c r="D23" s="381"/>
      <c r="E23" s="381"/>
      <c r="F23" s="381"/>
      <c r="G23" s="382"/>
    </row>
    <row r="24" spans="1:7" x14ac:dyDescent="0.25">
      <c r="A24" s="72" t="s">
        <v>18</v>
      </c>
      <c r="B24" s="72" t="s">
        <v>19</v>
      </c>
      <c r="C24" s="72" t="s">
        <v>3</v>
      </c>
      <c r="D24" s="72" t="s">
        <v>4</v>
      </c>
      <c r="E24" s="72" t="s">
        <v>27</v>
      </c>
      <c r="F24" s="72" t="s">
        <v>28</v>
      </c>
      <c r="G24" s="72" t="s">
        <v>22</v>
      </c>
    </row>
    <row r="25" spans="1:7" x14ac:dyDescent="0.25">
      <c r="A25" s="160"/>
      <c r="B25" s="161"/>
      <c r="C25" s="160"/>
      <c r="D25" s="162"/>
      <c r="E25" s="163"/>
      <c r="F25" s="131"/>
      <c r="G25" s="52"/>
    </row>
    <row r="26" spans="1:7" x14ac:dyDescent="0.25">
      <c r="A26" s="378" t="s">
        <v>29</v>
      </c>
      <c r="B26" s="379"/>
      <c r="C26" s="379"/>
      <c r="D26" s="379"/>
      <c r="E26" s="379"/>
      <c r="F26" s="379"/>
      <c r="G26" s="56">
        <v>0</v>
      </c>
    </row>
    <row r="27" spans="1:7" x14ac:dyDescent="0.25">
      <c r="A27" s="45"/>
      <c r="B27" s="46"/>
      <c r="C27" s="45"/>
      <c r="D27" s="47"/>
      <c r="E27" s="48"/>
      <c r="F27" s="47"/>
      <c r="G27" s="48"/>
    </row>
    <row r="28" spans="1:7" x14ac:dyDescent="0.25">
      <c r="A28" s="380" t="s">
        <v>30</v>
      </c>
      <c r="B28" s="381"/>
      <c r="C28" s="381"/>
      <c r="D28" s="381"/>
      <c r="E28" s="381"/>
      <c r="F28" s="381"/>
      <c r="G28" s="382"/>
    </row>
    <row r="29" spans="1:7" x14ac:dyDescent="0.25">
      <c r="A29" s="72" t="s">
        <v>18</v>
      </c>
      <c r="B29" s="72" t="s">
        <v>19</v>
      </c>
      <c r="C29" s="72"/>
      <c r="D29" s="72" t="s">
        <v>31</v>
      </c>
      <c r="E29" s="72" t="s">
        <v>32</v>
      </c>
      <c r="F29" s="72" t="s">
        <v>21</v>
      </c>
      <c r="G29" s="72" t="s">
        <v>22</v>
      </c>
    </row>
    <row r="30" spans="1:7" x14ac:dyDescent="0.25">
      <c r="A30" s="50" t="s">
        <v>74</v>
      </c>
      <c r="B30" s="164" t="s">
        <v>75</v>
      </c>
      <c r="C30" s="165"/>
      <c r="D30" s="51">
        <v>1</v>
      </c>
      <c r="E30" s="52">
        <v>3.41</v>
      </c>
      <c r="F30" s="51">
        <v>0.25</v>
      </c>
      <c r="G30" s="52">
        <f>ROUND(D30*E30*F30,2)</f>
        <v>0.85</v>
      </c>
    </row>
    <row r="31" spans="1:7" x14ac:dyDescent="0.25">
      <c r="A31" s="54" t="s">
        <v>76</v>
      </c>
      <c r="B31" s="53" t="s">
        <v>77</v>
      </c>
      <c r="C31" s="72"/>
      <c r="D31" s="55">
        <v>1</v>
      </c>
      <c r="E31" s="56">
        <v>3.45</v>
      </c>
      <c r="F31" s="55">
        <v>0.25</v>
      </c>
      <c r="G31" s="52">
        <f>ROUND(D31*E31*F31,2)</f>
        <v>0.86</v>
      </c>
    </row>
    <row r="32" spans="1:7" x14ac:dyDescent="0.25">
      <c r="A32" s="378" t="s">
        <v>33</v>
      </c>
      <c r="B32" s="378"/>
      <c r="C32" s="378"/>
      <c r="D32" s="378"/>
      <c r="E32" s="378"/>
      <c r="F32" s="378"/>
      <c r="G32" s="56">
        <f>SUM(G30:G31)</f>
        <v>1.71</v>
      </c>
    </row>
    <row r="33" spans="1:7" x14ac:dyDescent="0.25">
      <c r="A33" s="45"/>
      <c r="B33" s="46"/>
      <c r="C33" s="45"/>
      <c r="D33" s="47"/>
      <c r="E33" s="48"/>
      <c r="F33" s="47"/>
      <c r="G33" s="48"/>
    </row>
    <row r="34" spans="1:7" x14ac:dyDescent="0.25">
      <c r="A34" s="383" t="s">
        <v>34</v>
      </c>
      <c r="B34" s="384"/>
      <c r="C34" s="384"/>
      <c r="D34" s="384"/>
      <c r="E34" s="384"/>
      <c r="F34" s="384"/>
      <c r="G34" s="58">
        <f>G32+G21+G13+G26</f>
        <v>7.9499999999999993</v>
      </c>
    </row>
    <row r="35" spans="1:7" x14ac:dyDescent="0.25">
      <c r="A35" s="117"/>
      <c r="B35" s="118"/>
      <c r="C35" s="118"/>
      <c r="D35" s="118"/>
      <c r="E35" s="118"/>
      <c r="F35" s="118"/>
      <c r="G35" s="58"/>
    </row>
    <row r="36" spans="1:7" x14ac:dyDescent="0.25">
      <c r="A36" s="385" t="s">
        <v>35</v>
      </c>
      <c r="B36" s="386"/>
      <c r="C36" s="386"/>
      <c r="D36" s="386"/>
      <c r="E36" s="386"/>
      <c r="F36" s="386"/>
      <c r="G36" s="387"/>
    </row>
    <row r="37" spans="1:7" x14ac:dyDescent="0.25">
      <c r="A37" s="383" t="s">
        <v>78</v>
      </c>
      <c r="B37" s="384"/>
      <c r="C37" s="384"/>
      <c r="D37" s="384"/>
      <c r="E37" s="384"/>
      <c r="F37" s="384"/>
      <c r="G37" s="58">
        <f>ROUND(0.21*G34,2)</f>
        <v>1.67</v>
      </c>
    </row>
    <row r="38" spans="1:7" x14ac:dyDescent="0.25">
      <c r="A38" s="45"/>
      <c r="B38" s="46"/>
      <c r="C38" s="45"/>
      <c r="D38" s="47"/>
      <c r="E38" s="48"/>
      <c r="F38" s="47"/>
      <c r="G38" s="48"/>
    </row>
    <row r="39" spans="1:7" x14ac:dyDescent="0.25">
      <c r="A39" s="376" t="s">
        <v>36</v>
      </c>
      <c r="B39" s="377"/>
      <c r="C39" s="377"/>
      <c r="D39" s="377"/>
      <c r="E39" s="377"/>
      <c r="F39" s="377"/>
      <c r="G39" s="166">
        <f>G34+G37</f>
        <v>9.6199999999999992</v>
      </c>
    </row>
  </sheetData>
  <mergeCells count="19">
    <mergeCell ref="A39:F39"/>
    <mergeCell ref="A26:F26"/>
    <mergeCell ref="A28:G28"/>
    <mergeCell ref="A32:F32"/>
    <mergeCell ref="A34:F34"/>
    <mergeCell ref="A36:G36"/>
    <mergeCell ref="A37:F37"/>
    <mergeCell ref="A23:G23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21:F21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activeCell="O21" sqref="O21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16">
        <f>Presupuesto!B50</f>
        <v>43</v>
      </c>
      <c r="C3" s="114"/>
      <c r="D3" s="114"/>
      <c r="E3" s="37"/>
      <c r="F3" s="115"/>
      <c r="G3" s="115"/>
    </row>
    <row r="4" spans="1:7" x14ac:dyDescent="0.25">
      <c r="A4" s="37" t="s">
        <v>13</v>
      </c>
      <c r="B4" s="414" t="str">
        <f>Presupuesto!C50</f>
        <v>507291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Presupuesto!D50</f>
        <v>Acero estructural A-36 en perfiles inc. pintura sintetica y montaje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Presupuesto!E50</f>
        <v>kg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167" t="s">
        <v>202</v>
      </c>
      <c r="B12" s="168" t="s">
        <v>203</v>
      </c>
      <c r="C12" s="167" t="s">
        <v>85</v>
      </c>
      <c r="D12" s="169">
        <v>1</v>
      </c>
      <c r="E12" s="170">
        <v>2</v>
      </c>
      <c r="F12" s="169">
        <v>0.08</v>
      </c>
      <c r="G12" s="170">
        <f>ROUND(D12*E12*F12,2)</f>
        <v>0.16</v>
      </c>
    </row>
    <row r="13" spans="1:7" x14ac:dyDescent="0.25">
      <c r="A13" s="177" t="s">
        <v>376</v>
      </c>
      <c r="B13" s="241" t="s">
        <v>377</v>
      </c>
      <c r="C13" s="177" t="s">
        <v>85</v>
      </c>
      <c r="D13" s="179">
        <v>1</v>
      </c>
      <c r="E13" s="180">
        <v>1.25</v>
      </c>
      <c r="F13" s="179">
        <v>0.08</v>
      </c>
      <c r="G13" s="180">
        <f t="shared" ref="G13:G14" si="0">ROUND(D13*E13*F13,2)</f>
        <v>0.1</v>
      </c>
    </row>
    <row r="14" spans="1:7" x14ac:dyDescent="0.25">
      <c r="A14" s="177" t="s">
        <v>378</v>
      </c>
      <c r="B14" s="241" t="s">
        <v>379</v>
      </c>
      <c r="C14" s="177" t="s">
        <v>85</v>
      </c>
      <c r="D14" s="179">
        <v>1</v>
      </c>
      <c r="E14" s="180">
        <v>2</v>
      </c>
      <c r="F14" s="179">
        <v>0.08</v>
      </c>
      <c r="G14" s="180">
        <f t="shared" si="0"/>
        <v>0.16</v>
      </c>
    </row>
    <row r="15" spans="1:7" x14ac:dyDescent="0.25">
      <c r="A15" s="171" t="s">
        <v>79</v>
      </c>
      <c r="B15" s="172" t="s">
        <v>80</v>
      </c>
      <c r="C15" s="171" t="s">
        <v>81</v>
      </c>
      <c r="D15" s="173" t="s">
        <v>106</v>
      </c>
      <c r="E15" s="174"/>
      <c r="F15" s="173"/>
      <c r="G15" s="174">
        <f>ROUND(0.05*G39,2)</f>
        <v>0.06</v>
      </c>
    </row>
    <row r="16" spans="1:7" x14ac:dyDescent="0.25">
      <c r="A16" s="378" t="s">
        <v>23</v>
      </c>
      <c r="B16" s="378"/>
      <c r="C16" s="378"/>
      <c r="D16" s="378"/>
      <c r="E16" s="378"/>
      <c r="F16" s="378"/>
      <c r="G16" s="56">
        <f>SUM(G12:G15)</f>
        <v>0.48000000000000004</v>
      </c>
    </row>
    <row r="17" spans="1:7" x14ac:dyDescent="0.25">
      <c r="A17" s="45"/>
      <c r="B17" s="46"/>
      <c r="C17" s="45"/>
      <c r="D17" s="47"/>
      <c r="E17" s="48"/>
      <c r="F17" s="47"/>
      <c r="G17" s="48"/>
    </row>
    <row r="18" spans="1:7" x14ac:dyDescent="0.25">
      <c r="A18" s="380" t="s">
        <v>24</v>
      </c>
      <c r="B18" s="381"/>
      <c r="C18" s="381"/>
      <c r="D18" s="381"/>
      <c r="E18" s="381"/>
      <c r="F18" s="381"/>
      <c r="G18" s="382"/>
    </row>
    <row r="19" spans="1:7" x14ac:dyDescent="0.25">
      <c r="A19" s="72" t="s">
        <v>18</v>
      </c>
      <c r="B19" s="72" t="s">
        <v>19</v>
      </c>
      <c r="C19" s="72" t="s">
        <v>3</v>
      </c>
      <c r="D19" s="233" t="s">
        <v>4</v>
      </c>
      <c r="E19" s="159" t="s">
        <v>20</v>
      </c>
      <c r="F19" s="57"/>
      <c r="G19" s="159" t="s">
        <v>22</v>
      </c>
    </row>
    <row r="20" spans="1:7" x14ac:dyDescent="0.25">
      <c r="A20" s="167" t="s">
        <v>380</v>
      </c>
      <c r="B20" s="175" t="s">
        <v>381</v>
      </c>
      <c r="C20" s="167" t="s">
        <v>118</v>
      </c>
      <c r="D20" s="169">
        <v>1.05</v>
      </c>
      <c r="E20" s="170">
        <v>0.96499999999999997</v>
      </c>
      <c r="F20" s="176"/>
      <c r="G20" s="170">
        <f>ROUND(D20*E20,2)</f>
        <v>1.01</v>
      </c>
    </row>
    <row r="21" spans="1:7" x14ac:dyDescent="0.25">
      <c r="A21" s="177" t="s">
        <v>310</v>
      </c>
      <c r="B21" s="178" t="s">
        <v>311</v>
      </c>
      <c r="C21" s="177" t="s">
        <v>312</v>
      </c>
      <c r="D21" s="179">
        <v>0.02</v>
      </c>
      <c r="E21" s="180">
        <v>0.6</v>
      </c>
      <c r="F21" s="181"/>
      <c r="G21" s="180">
        <f t="shared" ref="G21:G27" si="1">ROUND(D21*E21,2)</f>
        <v>0.01</v>
      </c>
    </row>
    <row r="22" spans="1:7" x14ac:dyDescent="0.25">
      <c r="A22" s="177" t="s">
        <v>125</v>
      </c>
      <c r="B22" s="178" t="s">
        <v>126</v>
      </c>
      <c r="C22" s="177" t="s">
        <v>124</v>
      </c>
      <c r="D22" s="179">
        <v>0.05</v>
      </c>
      <c r="E22" s="180">
        <v>2</v>
      </c>
      <c r="F22" s="181"/>
      <c r="G22" s="180">
        <f t="shared" si="1"/>
        <v>0.1</v>
      </c>
    </row>
    <row r="23" spans="1:7" x14ac:dyDescent="0.25">
      <c r="A23" s="177" t="s">
        <v>382</v>
      </c>
      <c r="B23" s="178" t="s">
        <v>383</v>
      </c>
      <c r="C23" s="177" t="s">
        <v>48</v>
      </c>
      <c r="D23" s="179">
        <v>0.01</v>
      </c>
      <c r="E23" s="180">
        <v>3.54</v>
      </c>
      <c r="F23" s="181"/>
      <c r="G23" s="180">
        <f t="shared" si="1"/>
        <v>0.04</v>
      </c>
    </row>
    <row r="24" spans="1:7" x14ac:dyDescent="0.25">
      <c r="A24" s="177" t="s">
        <v>308</v>
      </c>
      <c r="B24" s="178" t="s">
        <v>309</v>
      </c>
      <c r="C24" s="177" t="s">
        <v>121</v>
      </c>
      <c r="D24" s="179">
        <v>0.02</v>
      </c>
      <c r="E24" s="180">
        <v>1.6</v>
      </c>
      <c r="F24" s="181"/>
      <c r="G24" s="180">
        <f t="shared" si="1"/>
        <v>0.03</v>
      </c>
    </row>
    <row r="25" spans="1:7" x14ac:dyDescent="0.25">
      <c r="A25" s="177" t="s">
        <v>384</v>
      </c>
      <c r="B25" s="178" t="s">
        <v>385</v>
      </c>
      <c r="C25" s="177" t="s">
        <v>121</v>
      </c>
      <c r="D25" s="179">
        <v>0.02</v>
      </c>
      <c r="E25" s="180">
        <v>8</v>
      </c>
      <c r="F25" s="181"/>
      <c r="G25" s="180">
        <f t="shared" si="1"/>
        <v>0.16</v>
      </c>
    </row>
    <row r="26" spans="1:7" x14ac:dyDescent="0.25">
      <c r="A26" s="177" t="s">
        <v>386</v>
      </c>
      <c r="B26" s="178" t="s">
        <v>387</v>
      </c>
      <c r="C26" s="177" t="s">
        <v>121</v>
      </c>
      <c r="D26" s="179">
        <v>0.02</v>
      </c>
      <c r="E26" s="180">
        <v>7</v>
      </c>
      <c r="F26" s="181"/>
      <c r="G26" s="180">
        <f t="shared" si="1"/>
        <v>0.14000000000000001</v>
      </c>
    </row>
    <row r="27" spans="1:7" x14ac:dyDescent="0.25">
      <c r="A27" s="171" t="s">
        <v>388</v>
      </c>
      <c r="B27" s="182" t="s">
        <v>389</v>
      </c>
      <c r="C27" s="171" t="s">
        <v>201</v>
      </c>
      <c r="D27" s="173">
        <v>0.5</v>
      </c>
      <c r="E27" s="174">
        <v>0.25</v>
      </c>
      <c r="F27" s="183"/>
      <c r="G27" s="174">
        <f t="shared" si="1"/>
        <v>0.13</v>
      </c>
    </row>
    <row r="28" spans="1:7" x14ac:dyDescent="0.25">
      <c r="A28" s="378" t="s">
        <v>25</v>
      </c>
      <c r="B28" s="378"/>
      <c r="C28" s="378"/>
      <c r="D28" s="378"/>
      <c r="E28" s="378"/>
      <c r="F28" s="378"/>
      <c r="G28" s="56">
        <f>SUM(G20:G27)</f>
        <v>1.62</v>
      </c>
    </row>
    <row r="29" spans="1:7" x14ac:dyDescent="0.25">
      <c r="A29" s="45"/>
      <c r="B29" s="46"/>
      <c r="C29" s="45"/>
      <c r="D29" s="47"/>
      <c r="E29" s="48"/>
      <c r="F29" s="47"/>
      <c r="G29" s="48"/>
    </row>
    <row r="30" spans="1:7" x14ac:dyDescent="0.25">
      <c r="A30" s="380" t="s">
        <v>26</v>
      </c>
      <c r="B30" s="381"/>
      <c r="C30" s="381"/>
      <c r="D30" s="381"/>
      <c r="E30" s="381"/>
      <c r="F30" s="381"/>
      <c r="G30" s="382"/>
    </row>
    <row r="31" spans="1:7" x14ac:dyDescent="0.25">
      <c r="A31" s="72" t="s">
        <v>18</v>
      </c>
      <c r="B31" s="72" t="s">
        <v>19</v>
      </c>
      <c r="C31" s="72" t="s">
        <v>3</v>
      </c>
      <c r="D31" s="72" t="s">
        <v>4</v>
      </c>
      <c r="E31" s="72" t="s">
        <v>27</v>
      </c>
      <c r="F31" s="72" t="s">
        <v>28</v>
      </c>
      <c r="G31" s="72" t="s">
        <v>22</v>
      </c>
    </row>
    <row r="32" spans="1:7" x14ac:dyDescent="0.25">
      <c r="A32" s="160"/>
      <c r="B32" s="161"/>
      <c r="C32" s="160"/>
      <c r="D32" s="162"/>
      <c r="E32" s="163"/>
      <c r="F32" s="131"/>
      <c r="G32" s="52"/>
    </row>
    <row r="33" spans="1:7" x14ac:dyDescent="0.25">
      <c r="A33" s="378" t="s">
        <v>29</v>
      </c>
      <c r="B33" s="379"/>
      <c r="C33" s="379"/>
      <c r="D33" s="379"/>
      <c r="E33" s="379"/>
      <c r="F33" s="379"/>
      <c r="G33" s="56">
        <v>0</v>
      </c>
    </row>
    <row r="34" spans="1:7" x14ac:dyDescent="0.25">
      <c r="A34" s="45"/>
      <c r="B34" s="46"/>
      <c r="C34" s="45"/>
      <c r="D34" s="47"/>
      <c r="E34" s="48"/>
      <c r="F34" s="47"/>
      <c r="G34" s="48"/>
    </row>
    <row r="35" spans="1:7" x14ac:dyDescent="0.25">
      <c r="A35" s="380" t="s">
        <v>30</v>
      </c>
      <c r="B35" s="381"/>
      <c r="C35" s="381"/>
      <c r="D35" s="381"/>
      <c r="E35" s="381"/>
      <c r="F35" s="381"/>
      <c r="G35" s="382"/>
    </row>
    <row r="36" spans="1:7" x14ac:dyDescent="0.25">
      <c r="A36" s="72" t="s">
        <v>18</v>
      </c>
      <c r="B36" s="72" t="s">
        <v>19</v>
      </c>
      <c r="C36" s="72"/>
      <c r="D36" s="72" t="s">
        <v>31</v>
      </c>
      <c r="E36" s="72" t="s">
        <v>32</v>
      </c>
      <c r="F36" s="72" t="s">
        <v>21</v>
      </c>
      <c r="G36" s="72" t="s">
        <v>22</v>
      </c>
    </row>
    <row r="37" spans="1:7" x14ac:dyDescent="0.25">
      <c r="A37" s="167" t="s">
        <v>74</v>
      </c>
      <c r="B37" s="175" t="s">
        <v>75</v>
      </c>
      <c r="C37" s="184"/>
      <c r="D37" s="169">
        <v>2</v>
      </c>
      <c r="E37" s="170">
        <v>3.41</v>
      </c>
      <c r="F37" s="169">
        <v>0.08</v>
      </c>
      <c r="G37" s="170">
        <f>ROUND(D37*E37*F37,2)</f>
        <v>0.55000000000000004</v>
      </c>
    </row>
    <row r="38" spans="1:7" x14ac:dyDescent="0.25">
      <c r="A38" s="171" t="s">
        <v>76</v>
      </c>
      <c r="B38" s="182" t="s">
        <v>77</v>
      </c>
      <c r="C38" s="186"/>
      <c r="D38" s="173">
        <v>2</v>
      </c>
      <c r="E38" s="174">
        <v>3.45</v>
      </c>
      <c r="F38" s="173">
        <v>0.08</v>
      </c>
      <c r="G38" s="174">
        <f>ROUND(D38*E38*F38,2)</f>
        <v>0.55000000000000004</v>
      </c>
    </row>
    <row r="39" spans="1:7" x14ac:dyDescent="0.25">
      <c r="A39" s="378" t="s">
        <v>33</v>
      </c>
      <c r="B39" s="378"/>
      <c r="C39" s="378"/>
      <c r="D39" s="378"/>
      <c r="E39" s="378"/>
      <c r="F39" s="378"/>
      <c r="G39" s="56">
        <f>SUM(G37:G38)</f>
        <v>1.1000000000000001</v>
      </c>
    </row>
    <row r="40" spans="1:7" x14ac:dyDescent="0.25">
      <c r="A40" s="45"/>
      <c r="B40" s="46"/>
      <c r="C40" s="45"/>
      <c r="D40" s="47"/>
      <c r="E40" s="48"/>
      <c r="F40" s="47"/>
      <c r="G40" s="48"/>
    </row>
    <row r="41" spans="1:7" x14ac:dyDescent="0.25">
      <c r="A41" s="383" t="s">
        <v>34</v>
      </c>
      <c r="B41" s="384"/>
      <c r="C41" s="384"/>
      <c r="D41" s="384"/>
      <c r="E41" s="384"/>
      <c r="F41" s="384"/>
      <c r="G41" s="58">
        <f>+G39+G33+G28+G16</f>
        <v>3.2</v>
      </c>
    </row>
    <row r="42" spans="1:7" x14ac:dyDescent="0.25">
      <c r="A42" s="117"/>
      <c r="B42" s="118"/>
      <c r="C42" s="118"/>
      <c r="D42" s="118"/>
      <c r="E42" s="118"/>
      <c r="F42" s="118"/>
      <c r="G42" s="58"/>
    </row>
    <row r="43" spans="1:7" x14ac:dyDescent="0.25">
      <c r="A43" s="385" t="s">
        <v>35</v>
      </c>
      <c r="B43" s="386"/>
      <c r="C43" s="386"/>
      <c r="D43" s="386"/>
      <c r="E43" s="386"/>
      <c r="F43" s="386"/>
      <c r="G43" s="387"/>
    </row>
    <row r="44" spans="1:7" x14ac:dyDescent="0.25">
      <c r="A44" s="383" t="s">
        <v>78</v>
      </c>
      <c r="B44" s="384"/>
      <c r="C44" s="384"/>
      <c r="D44" s="384"/>
      <c r="E44" s="384"/>
      <c r="F44" s="384"/>
      <c r="G44" s="58">
        <f>ROUND(0.21*G41,2)</f>
        <v>0.67</v>
      </c>
    </row>
    <row r="45" spans="1:7" x14ac:dyDescent="0.25">
      <c r="A45" s="45"/>
      <c r="B45" s="46"/>
      <c r="C45" s="45"/>
      <c r="D45" s="47"/>
      <c r="E45" s="48"/>
      <c r="F45" s="47"/>
      <c r="G45" s="48"/>
    </row>
    <row r="46" spans="1:7" x14ac:dyDescent="0.25">
      <c r="A46" s="376" t="s">
        <v>36</v>
      </c>
      <c r="B46" s="377"/>
      <c r="C46" s="377"/>
      <c r="D46" s="377"/>
      <c r="E46" s="377"/>
      <c r="F46" s="377"/>
      <c r="G46" s="166">
        <f>G41+G44</f>
        <v>3.87</v>
      </c>
    </row>
  </sheetData>
  <mergeCells count="19">
    <mergeCell ref="A46:F46"/>
    <mergeCell ref="A33:F33"/>
    <mergeCell ref="A35:G35"/>
    <mergeCell ref="A39:F39"/>
    <mergeCell ref="A41:F41"/>
    <mergeCell ref="A43:G43"/>
    <mergeCell ref="A44:F44"/>
    <mergeCell ref="A30:G30"/>
    <mergeCell ref="A1:F1"/>
    <mergeCell ref="B2:D2"/>
    <mergeCell ref="F2:G2"/>
    <mergeCell ref="B4:G4"/>
    <mergeCell ref="B5:G5"/>
    <mergeCell ref="B6:G6"/>
    <mergeCell ref="A8:G8"/>
    <mergeCell ref="A10:G10"/>
    <mergeCell ref="A16:F16"/>
    <mergeCell ref="A18:G18"/>
    <mergeCell ref="A28:F28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19" workbookViewId="0">
      <selection activeCell="O38" sqref="O38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16">
        <f>Presupuesto!B51</f>
        <v>44</v>
      </c>
      <c r="C3" s="114"/>
      <c r="D3" s="114"/>
      <c r="E3" s="37"/>
      <c r="F3" s="115"/>
      <c r="G3" s="115"/>
    </row>
    <row r="4" spans="1:7" x14ac:dyDescent="0.25">
      <c r="A4" s="37" t="s">
        <v>13</v>
      </c>
      <c r="B4" s="414" t="str">
        <f>Presupuesto!C51</f>
        <v>507297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Presupuesto!D51</f>
        <v>Hormigón simple f´c=210 Kg/cm2 en dados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Presupuesto!E51</f>
        <v>m3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167" t="s">
        <v>279</v>
      </c>
      <c r="B12" s="168" t="s">
        <v>280</v>
      </c>
      <c r="C12" s="167" t="s">
        <v>85</v>
      </c>
      <c r="D12" s="169">
        <v>1</v>
      </c>
      <c r="E12" s="170">
        <v>3.75</v>
      </c>
      <c r="F12" s="169">
        <v>0.91</v>
      </c>
      <c r="G12" s="170">
        <f>ROUND(D12*E12*F12,2)</f>
        <v>3.41</v>
      </c>
    </row>
    <row r="13" spans="1:7" x14ac:dyDescent="0.25">
      <c r="A13" s="177" t="s">
        <v>281</v>
      </c>
      <c r="B13" s="241" t="s">
        <v>282</v>
      </c>
      <c r="C13" s="177" t="s">
        <v>85</v>
      </c>
      <c r="D13" s="179">
        <v>1</v>
      </c>
      <c r="E13" s="180">
        <v>3.15</v>
      </c>
      <c r="F13" s="179">
        <v>0.91</v>
      </c>
      <c r="G13" s="180">
        <f>ROUND(D13*E13*F13,2)</f>
        <v>2.87</v>
      </c>
    </row>
    <row r="14" spans="1:7" x14ac:dyDescent="0.25">
      <c r="A14" s="171" t="s">
        <v>79</v>
      </c>
      <c r="B14" s="172" t="s">
        <v>80</v>
      </c>
      <c r="C14" s="171" t="s">
        <v>81</v>
      </c>
      <c r="D14" s="173" t="s">
        <v>106</v>
      </c>
      <c r="E14" s="174"/>
      <c r="F14" s="173"/>
      <c r="G14" s="174">
        <f>ROUND(0.05*G35,2)</f>
        <v>2.04</v>
      </c>
    </row>
    <row r="15" spans="1:7" x14ac:dyDescent="0.25">
      <c r="A15" s="378" t="s">
        <v>23</v>
      </c>
      <c r="B15" s="378"/>
      <c r="C15" s="378"/>
      <c r="D15" s="378"/>
      <c r="E15" s="378"/>
      <c r="F15" s="378"/>
      <c r="G15" s="56">
        <f>SUM(G12:G14)</f>
        <v>8.32</v>
      </c>
    </row>
    <row r="16" spans="1:7" x14ac:dyDescent="0.25">
      <c r="A16" s="45"/>
      <c r="B16" s="46"/>
      <c r="C16" s="45"/>
      <c r="D16" s="47"/>
      <c r="E16" s="48"/>
      <c r="F16" s="47"/>
      <c r="G16" s="48"/>
    </row>
    <row r="17" spans="1:7" x14ac:dyDescent="0.25">
      <c r="A17" s="380" t="s">
        <v>24</v>
      </c>
      <c r="B17" s="381"/>
      <c r="C17" s="381"/>
      <c r="D17" s="381"/>
      <c r="E17" s="381"/>
      <c r="F17" s="381"/>
      <c r="G17" s="382"/>
    </row>
    <row r="18" spans="1:7" x14ac:dyDescent="0.25">
      <c r="A18" s="72" t="s">
        <v>18</v>
      </c>
      <c r="B18" s="72" t="s">
        <v>19</v>
      </c>
      <c r="C18" s="72" t="s">
        <v>3</v>
      </c>
      <c r="D18" s="233" t="s">
        <v>4</v>
      </c>
      <c r="E18" s="159" t="s">
        <v>20</v>
      </c>
      <c r="F18" s="57"/>
      <c r="G18" s="159" t="s">
        <v>22</v>
      </c>
    </row>
    <row r="19" spans="1:7" x14ac:dyDescent="0.25">
      <c r="A19" s="167" t="s">
        <v>107</v>
      </c>
      <c r="B19" s="175" t="s">
        <v>108</v>
      </c>
      <c r="C19" s="167" t="s">
        <v>109</v>
      </c>
      <c r="D19" s="169">
        <v>7.2</v>
      </c>
      <c r="E19" s="170">
        <v>7.15</v>
      </c>
      <c r="F19" s="176"/>
      <c r="G19" s="170">
        <f>ROUND(D19*E19,2)</f>
        <v>51.48</v>
      </c>
    </row>
    <row r="20" spans="1:7" x14ac:dyDescent="0.25">
      <c r="A20" s="177" t="s">
        <v>112</v>
      </c>
      <c r="B20" s="178" t="s">
        <v>113</v>
      </c>
      <c r="C20" s="177" t="s">
        <v>43</v>
      </c>
      <c r="D20" s="179">
        <v>0.6</v>
      </c>
      <c r="E20" s="180">
        <v>15</v>
      </c>
      <c r="F20" s="181"/>
      <c r="G20" s="180">
        <f t="shared" ref="G20:G22" si="0">ROUND(D20*E20,2)</f>
        <v>9</v>
      </c>
    </row>
    <row r="21" spans="1:7" x14ac:dyDescent="0.25">
      <c r="A21" s="177" t="s">
        <v>110</v>
      </c>
      <c r="B21" s="178" t="s">
        <v>111</v>
      </c>
      <c r="C21" s="177" t="s">
        <v>43</v>
      </c>
      <c r="D21" s="179">
        <v>0.96</v>
      </c>
      <c r="E21" s="180">
        <v>16.5</v>
      </c>
      <c r="F21" s="181"/>
      <c r="G21" s="180">
        <f t="shared" si="0"/>
        <v>15.84</v>
      </c>
    </row>
    <row r="22" spans="1:7" x14ac:dyDescent="0.25">
      <c r="A22" s="171" t="s">
        <v>119</v>
      </c>
      <c r="B22" s="182" t="s">
        <v>120</v>
      </c>
      <c r="C22" s="171" t="s">
        <v>121</v>
      </c>
      <c r="D22" s="173">
        <v>136</v>
      </c>
      <c r="E22" s="259">
        <v>1.0300000000000001E-3</v>
      </c>
      <c r="F22" s="183"/>
      <c r="G22" s="174">
        <f t="shared" si="0"/>
        <v>0.14000000000000001</v>
      </c>
    </row>
    <row r="23" spans="1:7" x14ac:dyDescent="0.25">
      <c r="A23" s="378" t="s">
        <v>25</v>
      </c>
      <c r="B23" s="378"/>
      <c r="C23" s="378"/>
      <c r="D23" s="378"/>
      <c r="E23" s="378"/>
      <c r="F23" s="378"/>
      <c r="G23" s="56">
        <f>SUM(G19:G22)</f>
        <v>76.459999999999994</v>
      </c>
    </row>
    <row r="24" spans="1:7" x14ac:dyDescent="0.25">
      <c r="A24" s="45"/>
      <c r="B24" s="46"/>
      <c r="C24" s="45"/>
      <c r="D24" s="47"/>
      <c r="E24" s="48"/>
      <c r="F24" s="47"/>
      <c r="G24" s="48"/>
    </row>
    <row r="25" spans="1:7" x14ac:dyDescent="0.25">
      <c r="A25" s="380" t="s">
        <v>26</v>
      </c>
      <c r="B25" s="381"/>
      <c r="C25" s="381"/>
      <c r="D25" s="381"/>
      <c r="E25" s="381"/>
      <c r="F25" s="381"/>
      <c r="G25" s="382"/>
    </row>
    <row r="26" spans="1:7" x14ac:dyDescent="0.25">
      <c r="A26" s="72" t="s">
        <v>18</v>
      </c>
      <c r="B26" s="72" t="s">
        <v>19</v>
      </c>
      <c r="C26" s="72" t="s">
        <v>3</v>
      </c>
      <c r="D26" s="72" t="s">
        <v>4</v>
      </c>
      <c r="E26" s="72" t="s">
        <v>27</v>
      </c>
      <c r="F26" s="72" t="s">
        <v>28</v>
      </c>
      <c r="G26" s="72" t="s">
        <v>22</v>
      </c>
    </row>
    <row r="27" spans="1:7" x14ac:dyDescent="0.25">
      <c r="A27" s="160"/>
      <c r="B27" s="161"/>
      <c r="C27" s="160"/>
      <c r="D27" s="162"/>
      <c r="E27" s="163"/>
      <c r="F27" s="131"/>
      <c r="G27" s="52"/>
    </row>
    <row r="28" spans="1:7" x14ac:dyDescent="0.25">
      <c r="A28" s="378" t="s">
        <v>29</v>
      </c>
      <c r="B28" s="379"/>
      <c r="C28" s="379"/>
      <c r="D28" s="379"/>
      <c r="E28" s="379"/>
      <c r="F28" s="379"/>
      <c r="G28" s="56">
        <v>0</v>
      </c>
    </row>
    <row r="29" spans="1:7" x14ac:dyDescent="0.25">
      <c r="A29" s="45"/>
      <c r="B29" s="46"/>
      <c r="C29" s="45"/>
      <c r="D29" s="47"/>
      <c r="E29" s="48"/>
      <c r="F29" s="47"/>
      <c r="G29" s="48"/>
    </row>
    <row r="30" spans="1:7" x14ac:dyDescent="0.25">
      <c r="A30" s="380" t="s">
        <v>30</v>
      </c>
      <c r="B30" s="381"/>
      <c r="C30" s="381"/>
      <c r="D30" s="381"/>
      <c r="E30" s="381"/>
      <c r="F30" s="381"/>
      <c r="G30" s="382"/>
    </row>
    <row r="31" spans="1:7" x14ac:dyDescent="0.25">
      <c r="A31" s="72" t="s">
        <v>18</v>
      </c>
      <c r="B31" s="72" t="s">
        <v>19</v>
      </c>
      <c r="C31" s="72"/>
      <c r="D31" s="72" t="s">
        <v>31</v>
      </c>
      <c r="E31" s="72" t="s">
        <v>32</v>
      </c>
      <c r="F31" s="72" t="s">
        <v>21</v>
      </c>
      <c r="G31" s="72" t="s">
        <v>22</v>
      </c>
    </row>
    <row r="32" spans="1:7" x14ac:dyDescent="0.25">
      <c r="A32" s="167" t="s">
        <v>74</v>
      </c>
      <c r="B32" s="175" t="s">
        <v>75</v>
      </c>
      <c r="C32" s="184"/>
      <c r="D32" s="169">
        <v>8</v>
      </c>
      <c r="E32" s="170">
        <v>3.41</v>
      </c>
      <c r="F32" s="169">
        <v>0.91</v>
      </c>
      <c r="G32" s="170">
        <f>ROUND(D32*E32*F32,2)</f>
        <v>24.82</v>
      </c>
    </row>
    <row r="33" spans="1:7" x14ac:dyDescent="0.25">
      <c r="A33" s="177" t="s">
        <v>76</v>
      </c>
      <c r="B33" s="178" t="s">
        <v>77</v>
      </c>
      <c r="C33" s="185"/>
      <c r="D33" s="179">
        <v>4</v>
      </c>
      <c r="E33" s="180">
        <v>3.45</v>
      </c>
      <c r="F33" s="179">
        <v>0.91</v>
      </c>
      <c r="G33" s="180">
        <f t="shared" ref="G33:G34" si="1">ROUND(D33*E33*F33,2)</f>
        <v>12.56</v>
      </c>
    </row>
    <row r="34" spans="1:7" x14ac:dyDescent="0.25">
      <c r="A34" s="171" t="s">
        <v>90</v>
      </c>
      <c r="B34" s="182" t="s">
        <v>91</v>
      </c>
      <c r="C34" s="186"/>
      <c r="D34" s="173">
        <v>1</v>
      </c>
      <c r="E34" s="174">
        <v>3.83</v>
      </c>
      <c r="F34" s="173">
        <v>0.91</v>
      </c>
      <c r="G34" s="174">
        <f t="shared" si="1"/>
        <v>3.49</v>
      </c>
    </row>
    <row r="35" spans="1:7" x14ac:dyDescent="0.25">
      <c r="A35" s="378" t="s">
        <v>33</v>
      </c>
      <c r="B35" s="378"/>
      <c r="C35" s="378"/>
      <c r="D35" s="378"/>
      <c r="E35" s="378"/>
      <c r="F35" s="378"/>
      <c r="G35" s="56">
        <f>SUM(G32:G34)</f>
        <v>40.870000000000005</v>
      </c>
    </row>
    <row r="36" spans="1:7" x14ac:dyDescent="0.25">
      <c r="A36" s="45"/>
      <c r="B36" s="46"/>
      <c r="C36" s="45"/>
      <c r="D36" s="47"/>
      <c r="E36" s="48"/>
      <c r="F36" s="47"/>
      <c r="G36" s="48"/>
    </row>
    <row r="37" spans="1:7" x14ac:dyDescent="0.25">
      <c r="A37" s="383" t="s">
        <v>34</v>
      </c>
      <c r="B37" s="384"/>
      <c r="C37" s="384"/>
      <c r="D37" s="384"/>
      <c r="E37" s="384"/>
      <c r="F37" s="384"/>
      <c r="G37" s="58">
        <f>+G35+G28+G23+G15</f>
        <v>125.65</v>
      </c>
    </row>
    <row r="38" spans="1:7" x14ac:dyDescent="0.25">
      <c r="A38" s="117"/>
      <c r="B38" s="118"/>
      <c r="C38" s="118"/>
      <c r="D38" s="118"/>
      <c r="E38" s="118"/>
      <c r="F38" s="118"/>
      <c r="G38" s="58"/>
    </row>
    <row r="39" spans="1:7" x14ac:dyDescent="0.25">
      <c r="A39" s="385" t="s">
        <v>35</v>
      </c>
      <c r="B39" s="386"/>
      <c r="C39" s="386"/>
      <c r="D39" s="386"/>
      <c r="E39" s="386"/>
      <c r="F39" s="386"/>
      <c r="G39" s="387"/>
    </row>
    <row r="40" spans="1:7" x14ac:dyDescent="0.25">
      <c r="A40" s="383" t="s">
        <v>78</v>
      </c>
      <c r="B40" s="384"/>
      <c r="C40" s="384"/>
      <c r="D40" s="384"/>
      <c r="E40" s="384"/>
      <c r="F40" s="384"/>
      <c r="G40" s="58">
        <f>ROUND(0.21*G37,2)</f>
        <v>26.39</v>
      </c>
    </row>
    <row r="41" spans="1:7" x14ac:dyDescent="0.25">
      <c r="A41" s="45"/>
      <c r="B41" s="46"/>
      <c r="C41" s="45"/>
      <c r="D41" s="47"/>
      <c r="E41" s="48"/>
      <c r="F41" s="47"/>
      <c r="G41" s="48"/>
    </row>
    <row r="42" spans="1:7" x14ac:dyDescent="0.25">
      <c r="A42" s="376" t="s">
        <v>36</v>
      </c>
      <c r="B42" s="377"/>
      <c r="C42" s="377"/>
      <c r="D42" s="377"/>
      <c r="E42" s="377"/>
      <c r="F42" s="377"/>
      <c r="G42" s="166">
        <f>G37+G40</f>
        <v>152.04000000000002</v>
      </c>
    </row>
  </sheetData>
  <mergeCells count="19">
    <mergeCell ref="A42:F42"/>
    <mergeCell ref="A28:F28"/>
    <mergeCell ref="A30:G30"/>
    <mergeCell ref="A35:F35"/>
    <mergeCell ref="A37:F37"/>
    <mergeCell ref="A39:G39"/>
    <mergeCell ref="A40:F40"/>
    <mergeCell ref="A25:G25"/>
    <mergeCell ref="A1:F1"/>
    <mergeCell ref="B2:D2"/>
    <mergeCell ref="F2:G2"/>
    <mergeCell ref="B4:G4"/>
    <mergeCell ref="B5:G5"/>
    <mergeCell ref="B6:G6"/>
    <mergeCell ref="A8:G8"/>
    <mergeCell ref="A10:G10"/>
    <mergeCell ref="A15:F15"/>
    <mergeCell ref="A17:G17"/>
    <mergeCell ref="A23:F23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activeCell="P48" sqref="P48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23">
        <f>Presupuesto!B52</f>
        <v>45</v>
      </c>
      <c r="C3" s="121"/>
      <c r="D3" s="121"/>
      <c r="E3" s="37"/>
      <c r="F3" s="122"/>
      <c r="G3" s="122"/>
    </row>
    <row r="4" spans="1:7" x14ac:dyDescent="0.25">
      <c r="A4" s="37" t="s">
        <v>13</v>
      </c>
      <c r="B4" s="414" t="str">
        <f>Presupuesto!C52</f>
        <v>519250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Presupuesto!D52</f>
        <v>Bermas de hormigón simple f'c=280kg/cm2; inc. encofrado y excav.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Presupuesto!E52</f>
        <v>m3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167" t="s">
        <v>279</v>
      </c>
      <c r="B12" s="168" t="s">
        <v>280</v>
      </c>
      <c r="C12" s="167" t="s">
        <v>85</v>
      </c>
      <c r="D12" s="169">
        <v>1</v>
      </c>
      <c r="E12" s="170">
        <v>3.75</v>
      </c>
      <c r="F12" s="169">
        <v>1.4</v>
      </c>
      <c r="G12" s="170">
        <f>ROUND(D12*E12*F12,2)</f>
        <v>5.25</v>
      </c>
    </row>
    <row r="13" spans="1:7" x14ac:dyDescent="0.25">
      <c r="A13" s="171" t="s">
        <v>79</v>
      </c>
      <c r="B13" s="172" t="s">
        <v>80</v>
      </c>
      <c r="C13" s="171" t="s">
        <v>81</v>
      </c>
      <c r="D13" s="173" t="s">
        <v>106</v>
      </c>
      <c r="E13" s="174"/>
      <c r="F13" s="173"/>
      <c r="G13" s="174">
        <f>ROUND(0.05*G39,2)</f>
        <v>3.14</v>
      </c>
    </row>
    <row r="14" spans="1:7" x14ac:dyDescent="0.25">
      <c r="A14" s="378" t="s">
        <v>23</v>
      </c>
      <c r="B14" s="378"/>
      <c r="C14" s="378"/>
      <c r="D14" s="378"/>
      <c r="E14" s="378"/>
      <c r="F14" s="378"/>
      <c r="G14" s="56">
        <f>SUM(G12:G13)</f>
        <v>8.39</v>
      </c>
    </row>
    <row r="15" spans="1:7" x14ac:dyDescent="0.25">
      <c r="A15" s="45"/>
      <c r="B15" s="46"/>
      <c r="C15" s="45"/>
      <c r="D15" s="47"/>
      <c r="E15" s="48"/>
      <c r="F15" s="47"/>
      <c r="G15" s="48"/>
    </row>
    <row r="16" spans="1:7" x14ac:dyDescent="0.25">
      <c r="A16" s="380" t="s">
        <v>24</v>
      </c>
      <c r="B16" s="381"/>
      <c r="C16" s="381"/>
      <c r="D16" s="381"/>
      <c r="E16" s="381"/>
      <c r="F16" s="381"/>
      <c r="G16" s="382"/>
    </row>
    <row r="17" spans="1:7" x14ac:dyDescent="0.25">
      <c r="A17" s="72" t="s">
        <v>18</v>
      </c>
      <c r="B17" s="72" t="s">
        <v>19</v>
      </c>
      <c r="C17" s="72" t="s">
        <v>3</v>
      </c>
      <c r="D17" s="233" t="s">
        <v>4</v>
      </c>
      <c r="E17" s="159" t="s">
        <v>20</v>
      </c>
      <c r="F17" s="57"/>
      <c r="G17" s="159" t="s">
        <v>22</v>
      </c>
    </row>
    <row r="18" spans="1:7" x14ac:dyDescent="0.25">
      <c r="A18" s="167" t="s">
        <v>107</v>
      </c>
      <c r="B18" s="175" t="s">
        <v>108</v>
      </c>
      <c r="C18" s="167" t="s">
        <v>109</v>
      </c>
      <c r="D18" s="169">
        <v>8.1999999999999993</v>
      </c>
      <c r="E18" s="170">
        <v>7.15</v>
      </c>
      <c r="F18" s="176"/>
      <c r="G18" s="170">
        <f>ROUND(D18*E18,2)</f>
        <v>58.63</v>
      </c>
    </row>
    <row r="19" spans="1:7" x14ac:dyDescent="0.25">
      <c r="A19" s="177" t="s">
        <v>112</v>
      </c>
      <c r="B19" s="178" t="s">
        <v>113</v>
      </c>
      <c r="C19" s="177" t="s">
        <v>43</v>
      </c>
      <c r="D19" s="179">
        <v>0.6</v>
      </c>
      <c r="E19" s="180">
        <v>15</v>
      </c>
      <c r="F19" s="181"/>
      <c r="G19" s="180">
        <f>ROUND(D19*E19,2)</f>
        <v>9</v>
      </c>
    </row>
    <row r="20" spans="1:7" x14ac:dyDescent="0.25">
      <c r="A20" s="177" t="s">
        <v>110</v>
      </c>
      <c r="B20" s="178" t="s">
        <v>410</v>
      </c>
      <c r="C20" s="177" t="s">
        <v>43</v>
      </c>
      <c r="D20" s="179">
        <v>0.94</v>
      </c>
      <c r="E20" s="180">
        <v>16.5</v>
      </c>
      <c r="F20" s="181"/>
      <c r="G20" s="180">
        <f t="shared" ref="G20:G26" si="0">ROUND(D20*E20,2)</f>
        <v>15.51</v>
      </c>
    </row>
    <row r="21" spans="1:7" x14ac:dyDescent="0.25">
      <c r="A21" s="177" t="s">
        <v>119</v>
      </c>
      <c r="B21" s="178" t="s">
        <v>411</v>
      </c>
      <c r="C21" s="177" t="s">
        <v>121</v>
      </c>
      <c r="D21" s="179">
        <v>133</v>
      </c>
      <c r="E21" s="247">
        <v>1.0300000000000001E-3</v>
      </c>
      <c r="F21" s="181"/>
      <c r="G21" s="180">
        <f t="shared" si="0"/>
        <v>0.14000000000000001</v>
      </c>
    </row>
    <row r="22" spans="1:7" x14ac:dyDescent="0.25">
      <c r="A22" s="177" t="s">
        <v>415</v>
      </c>
      <c r="B22" s="178" t="s">
        <v>412</v>
      </c>
      <c r="C22" s="177" t="s">
        <v>118</v>
      </c>
      <c r="D22" s="179">
        <v>3.53</v>
      </c>
      <c r="E22" s="180">
        <v>1.37</v>
      </c>
      <c r="F22" s="181"/>
      <c r="G22" s="180">
        <f t="shared" si="0"/>
        <v>4.84</v>
      </c>
    </row>
    <row r="23" spans="1:7" x14ac:dyDescent="0.25">
      <c r="A23" s="177" t="s">
        <v>130</v>
      </c>
      <c r="B23" s="178" t="s">
        <v>131</v>
      </c>
      <c r="C23" s="177" t="s">
        <v>48</v>
      </c>
      <c r="D23" s="179">
        <v>5.2</v>
      </c>
      <c r="E23" s="180">
        <v>3</v>
      </c>
      <c r="F23" s="181"/>
      <c r="G23" s="180">
        <f t="shared" si="0"/>
        <v>15.6</v>
      </c>
    </row>
    <row r="24" spans="1:7" x14ac:dyDescent="0.25">
      <c r="A24" s="177" t="s">
        <v>416</v>
      </c>
      <c r="B24" s="178" t="s">
        <v>413</v>
      </c>
      <c r="C24" s="177" t="s">
        <v>129</v>
      </c>
      <c r="D24" s="179">
        <v>11.4</v>
      </c>
      <c r="E24" s="180">
        <v>1.7</v>
      </c>
      <c r="F24" s="181"/>
      <c r="G24" s="180">
        <f t="shared" si="0"/>
        <v>19.38</v>
      </c>
    </row>
    <row r="25" spans="1:7" x14ac:dyDescent="0.25">
      <c r="A25" s="177" t="s">
        <v>132</v>
      </c>
      <c r="B25" s="178" t="s">
        <v>133</v>
      </c>
      <c r="C25" s="177" t="s">
        <v>129</v>
      </c>
      <c r="D25" s="179">
        <v>4.5999999999999996</v>
      </c>
      <c r="E25" s="180">
        <v>0.4</v>
      </c>
      <c r="F25" s="181"/>
      <c r="G25" s="180">
        <f t="shared" si="0"/>
        <v>1.84</v>
      </c>
    </row>
    <row r="26" spans="1:7" x14ac:dyDescent="0.25">
      <c r="A26" s="171" t="s">
        <v>417</v>
      </c>
      <c r="B26" s="182" t="s">
        <v>414</v>
      </c>
      <c r="C26" s="171" t="s">
        <v>124</v>
      </c>
      <c r="D26" s="173">
        <v>1.2</v>
      </c>
      <c r="E26" s="174">
        <v>0.72</v>
      </c>
      <c r="F26" s="183"/>
      <c r="G26" s="174">
        <f t="shared" si="0"/>
        <v>0.86</v>
      </c>
    </row>
    <row r="27" spans="1:7" x14ac:dyDescent="0.25">
      <c r="A27" s="378" t="s">
        <v>25</v>
      </c>
      <c r="B27" s="378"/>
      <c r="C27" s="378"/>
      <c r="D27" s="378"/>
      <c r="E27" s="378"/>
      <c r="F27" s="378"/>
      <c r="G27" s="56">
        <f>SUM(G18:G26)</f>
        <v>125.8</v>
      </c>
    </row>
    <row r="28" spans="1:7" x14ac:dyDescent="0.25">
      <c r="A28" s="45"/>
      <c r="B28" s="46"/>
      <c r="C28" s="45"/>
      <c r="D28" s="47"/>
      <c r="E28" s="48"/>
      <c r="F28" s="47"/>
      <c r="G28" s="48"/>
    </row>
    <row r="29" spans="1:7" x14ac:dyDescent="0.25">
      <c r="A29" s="380" t="s">
        <v>26</v>
      </c>
      <c r="B29" s="381"/>
      <c r="C29" s="381"/>
      <c r="D29" s="381"/>
      <c r="E29" s="381"/>
      <c r="F29" s="381"/>
      <c r="G29" s="382"/>
    </row>
    <row r="30" spans="1:7" x14ac:dyDescent="0.25">
      <c r="A30" s="72" t="s">
        <v>18</v>
      </c>
      <c r="B30" s="72" t="s">
        <v>19</v>
      </c>
      <c r="C30" s="72" t="s">
        <v>3</v>
      </c>
      <c r="D30" s="72" t="s">
        <v>4</v>
      </c>
      <c r="E30" s="72" t="s">
        <v>27</v>
      </c>
      <c r="F30" s="72" t="s">
        <v>28</v>
      </c>
      <c r="G30" s="72" t="s">
        <v>22</v>
      </c>
    </row>
    <row r="31" spans="1:7" x14ac:dyDescent="0.25">
      <c r="A31" s="160"/>
      <c r="B31" s="161"/>
      <c r="C31" s="160"/>
      <c r="D31" s="162"/>
      <c r="E31" s="163"/>
      <c r="F31" s="131"/>
      <c r="G31" s="52"/>
    </row>
    <row r="32" spans="1:7" x14ac:dyDescent="0.25">
      <c r="A32" s="378" t="s">
        <v>29</v>
      </c>
      <c r="B32" s="379"/>
      <c r="C32" s="379"/>
      <c r="D32" s="379"/>
      <c r="E32" s="379"/>
      <c r="F32" s="379"/>
      <c r="G32" s="56">
        <v>0</v>
      </c>
    </row>
    <row r="33" spans="1:7" x14ac:dyDescent="0.25">
      <c r="A33" s="45"/>
      <c r="B33" s="46"/>
      <c r="C33" s="45"/>
      <c r="D33" s="47"/>
      <c r="E33" s="48"/>
      <c r="F33" s="47"/>
      <c r="G33" s="48"/>
    </row>
    <row r="34" spans="1:7" x14ac:dyDescent="0.25">
      <c r="A34" s="380" t="s">
        <v>30</v>
      </c>
      <c r="B34" s="381"/>
      <c r="C34" s="381"/>
      <c r="D34" s="381"/>
      <c r="E34" s="381"/>
      <c r="F34" s="381"/>
      <c r="G34" s="382"/>
    </row>
    <row r="35" spans="1:7" x14ac:dyDescent="0.25">
      <c r="A35" s="72" t="s">
        <v>18</v>
      </c>
      <c r="B35" s="72" t="s">
        <v>19</v>
      </c>
      <c r="C35" s="72"/>
      <c r="D35" s="72" t="s">
        <v>31</v>
      </c>
      <c r="E35" s="72" t="s">
        <v>32</v>
      </c>
      <c r="F35" s="72" t="s">
        <v>21</v>
      </c>
      <c r="G35" s="72" t="s">
        <v>22</v>
      </c>
    </row>
    <row r="36" spans="1:7" x14ac:dyDescent="0.25">
      <c r="A36" s="167" t="s">
        <v>74</v>
      </c>
      <c r="B36" s="175" t="s">
        <v>75</v>
      </c>
      <c r="C36" s="184"/>
      <c r="D36" s="169">
        <v>8</v>
      </c>
      <c r="E36" s="170">
        <v>3.41</v>
      </c>
      <c r="F36" s="169">
        <v>1.4</v>
      </c>
      <c r="G36" s="170">
        <f>ROUND(D36*E36*F36,2)</f>
        <v>38.19</v>
      </c>
    </row>
    <row r="37" spans="1:7" x14ac:dyDescent="0.25">
      <c r="A37" s="177" t="s">
        <v>76</v>
      </c>
      <c r="B37" s="178" t="s">
        <v>77</v>
      </c>
      <c r="C37" s="185"/>
      <c r="D37" s="179">
        <v>4</v>
      </c>
      <c r="E37" s="180">
        <v>3.45</v>
      </c>
      <c r="F37" s="179">
        <v>1.4</v>
      </c>
      <c r="G37" s="180">
        <f t="shared" ref="G37:G38" si="1">ROUND(D37*E37*F37,2)</f>
        <v>19.32</v>
      </c>
    </row>
    <row r="38" spans="1:7" x14ac:dyDescent="0.25">
      <c r="A38" s="171" t="s">
        <v>90</v>
      </c>
      <c r="B38" s="182" t="s">
        <v>409</v>
      </c>
      <c r="C38" s="186"/>
      <c r="D38" s="173">
        <v>1</v>
      </c>
      <c r="E38" s="174">
        <v>3.83</v>
      </c>
      <c r="F38" s="173">
        <v>1.4</v>
      </c>
      <c r="G38" s="174">
        <f t="shared" si="1"/>
        <v>5.36</v>
      </c>
    </row>
    <row r="39" spans="1:7" x14ac:dyDescent="0.25">
      <c r="A39" s="378" t="s">
        <v>33</v>
      </c>
      <c r="B39" s="378"/>
      <c r="C39" s="378"/>
      <c r="D39" s="378"/>
      <c r="E39" s="378"/>
      <c r="F39" s="378"/>
      <c r="G39" s="56">
        <f>SUM(G36:G38)</f>
        <v>62.87</v>
      </c>
    </row>
    <row r="40" spans="1:7" x14ac:dyDescent="0.25">
      <c r="A40" s="45"/>
      <c r="B40" s="46"/>
      <c r="C40" s="45"/>
      <c r="D40" s="47"/>
      <c r="E40" s="48"/>
      <c r="F40" s="47"/>
      <c r="G40" s="48"/>
    </row>
    <row r="41" spans="1:7" x14ac:dyDescent="0.25">
      <c r="A41" s="383" t="s">
        <v>34</v>
      </c>
      <c r="B41" s="384"/>
      <c r="C41" s="384"/>
      <c r="D41" s="384"/>
      <c r="E41" s="384"/>
      <c r="F41" s="384"/>
      <c r="G41" s="58">
        <f>+G39+G32+G27+G14</f>
        <v>197.06</v>
      </c>
    </row>
    <row r="42" spans="1:7" x14ac:dyDescent="0.25">
      <c r="A42" s="119"/>
      <c r="B42" s="120"/>
      <c r="C42" s="120"/>
      <c r="D42" s="120"/>
      <c r="E42" s="120"/>
      <c r="F42" s="120"/>
      <c r="G42" s="58"/>
    </row>
    <row r="43" spans="1:7" x14ac:dyDescent="0.25">
      <c r="A43" s="385" t="s">
        <v>35</v>
      </c>
      <c r="B43" s="386"/>
      <c r="C43" s="386"/>
      <c r="D43" s="386"/>
      <c r="E43" s="386"/>
      <c r="F43" s="386"/>
      <c r="G43" s="387"/>
    </row>
    <row r="44" spans="1:7" x14ac:dyDescent="0.25">
      <c r="A44" s="383" t="s">
        <v>78</v>
      </c>
      <c r="B44" s="384"/>
      <c r="C44" s="384"/>
      <c r="D44" s="384"/>
      <c r="E44" s="384"/>
      <c r="F44" s="384"/>
      <c r="G44" s="58">
        <f>ROUND(0.21*G41,2)</f>
        <v>41.38</v>
      </c>
    </row>
    <row r="45" spans="1:7" x14ac:dyDescent="0.25">
      <c r="A45" s="45"/>
      <c r="B45" s="46"/>
      <c r="C45" s="45"/>
      <c r="D45" s="47"/>
      <c r="E45" s="48"/>
      <c r="F45" s="47"/>
      <c r="G45" s="48"/>
    </row>
    <row r="46" spans="1:7" x14ac:dyDescent="0.25">
      <c r="A46" s="376" t="s">
        <v>36</v>
      </c>
      <c r="B46" s="377"/>
      <c r="C46" s="377"/>
      <c r="D46" s="377"/>
      <c r="E46" s="377"/>
      <c r="F46" s="377"/>
      <c r="G46" s="166">
        <f>G41+G44</f>
        <v>238.44</v>
      </c>
    </row>
  </sheetData>
  <mergeCells count="19">
    <mergeCell ref="A29:G29"/>
    <mergeCell ref="A1:F1"/>
    <mergeCell ref="B2:D2"/>
    <mergeCell ref="F2:G2"/>
    <mergeCell ref="B4:G4"/>
    <mergeCell ref="B5:G5"/>
    <mergeCell ref="B6:G6"/>
    <mergeCell ref="A8:G8"/>
    <mergeCell ref="A10:G10"/>
    <mergeCell ref="A14:F14"/>
    <mergeCell ref="A16:G16"/>
    <mergeCell ref="A27:F27"/>
    <mergeCell ref="A46:F46"/>
    <mergeCell ref="A32:F32"/>
    <mergeCell ref="A34:G34"/>
    <mergeCell ref="A39:F39"/>
    <mergeCell ref="A41:F41"/>
    <mergeCell ref="A43:G43"/>
    <mergeCell ref="A44:F44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B6" sqref="B6:G6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25">
        <f>Presupuesto!B53</f>
        <v>46</v>
      </c>
      <c r="C3" s="262"/>
      <c r="D3" s="262"/>
      <c r="E3" s="37"/>
      <c r="F3" s="263"/>
      <c r="G3" s="263"/>
    </row>
    <row r="4" spans="1:7" x14ac:dyDescent="0.25">
      <c r="A4" s="37" t="s">
        <v>13</v>
      </c>
      <c r="B4" s="435" t="str">
        <f>Presupuesto!C53</f>
        <v>515153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35" t="str">
        <f>Presupuesto!D53</f>
        <v>Tablero de distribución de 4 tacos G.E.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Presupuesto!E54</f>
        <v>u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 t="s">
        <v>79</v>
      </c>
      <c r="B12" s="49" t="s">
        <v>80</v>
      </c>
      <c r="C12" s="50" t="s">
        <v>81</v>
      </c>
      <c r="D12" s="51" t="s">
        <v>106</v>
      </c>
      <c r="E12" s="52"/>
      <c r="F12" s="51"/>
      <c r="G12" s="52">
        <f>ROUND(0.05*G30,2)</f>
        <v>0.27</v>
      </c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f>G12</f>
        <v>0.27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x14ac:dyDescent="0.25">
      <c r="A17" s="50" t="s">
        <v>435</v>
      </c>
      <c r="B17" s="164" t="s">
        <v>434</v>
      </c>
      <c r="C17" s="50" t="s">
        <v>48</v>
      </c>
      <c r="D17" s="51">
        <v>1</v>
      </c>
      <c r="E17" s="52">
        <v>17.8</v>
      </c>
      <c r="F17" s="234"/>
      <c r="G17" s="52">
        <f>ROUND(D17*E17,2)</f>
        <v>17.8</v>
      </c>
    </row>
    <row r="18" spans="1:7" x14ac:dyDescent="0.25">
      <c r="A18" s="50" t="s">
        <v>436</v>
      </c>
      <c r="B18" s="164" t="s">
        <v>437</v>
      </c>
      <c r="C18" s="50" t="s">
        <v>48</v>
      </c>
      <c r="D18" s="51">
        <v>4</v>
      </c>
      <c r="E18" s="52">
        <v>5.5</v>
      </c>
      <c r="F18" s="234"/>
      <c r="G18" s="52">
        <f>ROUND(D18*E18,2)</f>
        <v>22</v>
      </c>
    </row>
    <row r="19" spans="1:7" x14ac:dyDescent="0.25">
      <c r="A19" s="378" t="s">
        <v>25</v>
      </c>
      <c r="B19" s="378"/>
      <c r="C19" s="378"/>
      <c r="D19" s="378"/>
      <c r="E19" s="378"/>
      <c r="F19" s="378"/>
      <c r="G19" s="56">
        <f>SUM(G17:G18)</f>
        <v>39.799999999999997</v>
      </c>
    </row>
    <row r="20" spans="1:7" x14ac:dyDescent="0.25">
      <c r="A20" s="45"/>
      <c r="B20" s="46"/>
      <c r="C20" s="45"/>
      <c r="D20" s="47"/>
      <c r="E20" s="48"/>
      <c r="F20" s="47"/>
      <c r="G20" s="48"/>
    </row>
    <row r="21" spans="1:7" x14ac:dyDescent="0.25">
      <c r="A21" s="380" t="s">
        <v>26</v>
      </c>
      <c r="B21" s="381"/>
      <c r="C21" s="381"/>
      <c r="D21" s="381"/>
      <c r="E21" s="381"/>
      <c r="F21" s="381"/>
      <c r="G21" s="382"/>
    </row>
    <row r="22" spans="1:7" x14ac:dyDescent="0.25">
      <c r="A22" s="72" t="s">
        <v>18</v>
      </c>
      <c r="B22" s="72" t="s">
        <v>19</v>
      </c>
      <c r="C22" s="72" t="s">
        <v>3</v>
      </c>
      <c r="D22" s="72" t="s">
        <v>4</v>
      </c>
      <c r="E22" s="72" t="s">
        <v>27</v>
      </c>
      <c r="F22" s="72" t="s">
        <v>28</v>
      </c>
      <c r="G22" s="72" t="s">
        <v>22</v>
      </c>
    </row>
    <row r="23" spans="1:7" x14ac:dyDescent="0.25">
      <c r="A23" s="160"/>
      <c r="B23" s="161"/>
      <c r="C23" s="160"/>
      <c r="D23" s="162"/>
      <c r="E23" s="163"/>
      <c r="F23" s="131"/>
      <c r="G23" s="52"/>
    </row>
    <row r="24" spans="1:7" x14ac:dyDescent="0.25">
      <c r="A24" s="378" t="s">
        <v>29</v>
      </c>
      <c r="B24" s="379"/>
      <c r="C24" s="379"/>
      <c r="D24" s="379"/>
      <c r="E24" s="379"/>
      <c r="F24" s="379"/>
      <c r="G24" s="56">
        <v>0</v>
      </c>
    </row>
    <row r="25" spans="1:7" x14ac:dyDescent="0.25">
      <c r="A25" s="45"/>
      <c r="B25" s="46"/>
      <c r="C25" s="45"/>
      <c r="D25" s="47"/>
      <c r="E25" s="48"/>
      <c r="F25" s="47"/>
      <c r="G25" s="48"/>
    </row>
    <row r="26" spans="1:7" x14ac:dyDescent="0.25">
      <c r="A26" s="380" t="s">
        <v>30</v>
      </c>
      <c r="B26" s="381"/>
      <c r="C26" s="381"/>
      <c r="D26" s="381"/>
      <c r="E26" s="381"/>
      <c r="F26" s="381"/>
      <c r="G26" s="382"/>
    </row>
    <row r="27" spans="1:7" x14ac:dyDescent="0.25">
      <c r="A27" s="72" t="s">
        <v>18</v>
      </c>
      <c r="B27" s="72" t="s">
        <v>19</v>
      </c>
      <c r="C27" s="72"/>
      <c r="D27" s="72" t="s">
        <v>31</v>
      </c>
      <c r="E27" s="72" t="s">
        <v>32</v>
      </c>
      <c r="F27" s="72" t="s">
        <v>21</v>
      </c>
      <c r="G27" s="72" t="s">
        <v>22</v>
      </c>
    </row>
    <row r="28" spans="1:7" x14ac:dyDescent="0.25">
      <c r="A28" s="50" t="s">
        <v>74</v>
      </c>
      <c r="B28" s="164" t="s">
        <v>75</v>
      </c>
      <c r="C28" s="165"/>
      <c r="D28" s="51">
        <v>1</v>
      </c>
      <c r="E28" s="52">
        <v>3.41</v>
      </c>
      <c r="F28" s="51">
        <v>0.36</v>
      </c>
      <c r="G28" s="52">
        <f>ROUND(D28*E28*F28,2)</f>
        <v>1.23</v>
      </c>
    </row>
    <row r="29" spans="1:7" x14ac:dyDescent="0.25">
      <c r="A29" s="50" t="s">
        <v>76</v>
      </c>
      <c r="B29" s="164" t="s">
        <v>77</v>
      </c>
      <c r="C29" s="165"/>
      <c r="D29" s="51">
        <v>1</v>
      </c>
      <c r="E29" s="52">
        <v>3.45</v>
      </c>
      <c r="F29" s="51">
        <v>1.21</v>
      </c>
      <c r="G29" s="52">
        <f>ROUND(E29*F29,2)</f>
        <v>4.17</v>
      </c>
    </row>
    <row r="30" spans="1:7" x14ac:dyDescent="0.25">
      <c r="A30" s="378" t="s">
        <v>33</v>
      </c>
      <c r="B30" s="378"/>
      <c r="C30" s="378"/>
      <c r="D30" s="378"/>
      <c r="E30" s="378"/>
      <c r="F30" s="378"/>
      <c r="G30" s="56">
        <f>SUM(G28:G29)</f>
        <v>5.4</v>
      </c>
    </row>
    <row r="31" spans="1:7" x14ac:dyDescent="0.25">
      <c r="A31" s="45"/>
      <c r="B31" s="46"/>
      <c r="C31" s="45"/>
      <c r="D31" s="47"/>
      <c r="E31" s="48"/>
      <c r="F31" s="47"/>
      <c r="G31" s="48"/>
    </row>
    <row r="32" spans="1:7" x14ac:dyDescent="0.25">
      <c r="A32" s="383" t="s">
        <v>34</v>
      </c>
      <c r="B32" s="384"/>
      <c r="C32" s="384"/>
      <c r="D32" s="384"/>
      <c r="E32" s="384"/>
      <c r="F32" s="384"/>
      <c r="G32" s="58">
        <f>G13+G30+G19+G24</f>
        <v>45.47</v>
      </c>
    </row>
    <row r="33" spans="1:7" x14ac:dyDescent="0.25">
      <c r="A33" s="264"/>
      <c r="B33" s="265"/>
      <c r="C33" s="265"/>
      <c r="D33" s="265"/>
      <c r="E33" s="265"/>
      <c r="F33" s="265"/>
      <c r="G33" s="58"/>
    </row>
    <row r="34" spans="1:7" x14ac:dyDescent="0.25">
      <c r="A34" s="385" t="s">
        <v>35</v>
      </c>
      <c r="B34" s="386"/>
      <c r="C34" s="386"/>
      <c r="D34" s="386"/>
      <c r="E34" s="386"/>
      <c r="F34" s="386"/>
      <c r="G34" s="387"/>
    </row>
    <row r="35" spans="1:7" x14ac:dyDescent="0.25">
      <c r="A35" s="383" t="s">
        <v>78</v>
      </c>
      <c r="B35" s="384"/>
      <c r="C35" s="384"/>
      <c r="D35" s="384"/>
      <c r="E35" s="384"/>
      <c r="F35" s="384"/>
      <c r="G35" s="58">
        <f>ROUND(G32*0.21,2)</f>
        <v>9.5500000000000007</v>
      </c>
    </row>
    <row r="36" spans="1:7" x14ac:dyDescent="0.25">
      <c r="A36" s="45"/>
      <c r="B36" s="46"/>
      <c r="C36" s="45"/>
      <c r="D36" s="47"/>
      <c r="E36" s="48"/>
      <c r="F36" s="47"/>
      <c r="G36" s="48"/>
    </row>
    <row r="37" spans="1:7" x14ac:dyDescent="0.25">
      <c r="A37" s="376" t="s">
        <v>36</v>
      </c>
      <c r="B37" s="377"/>
      <c r="C37" s="377"/>
      <c r="D37" s="377"/>
      <c r="E37" s="377"/>
      <c r="F37" s="377"/>
      <c r="G37" s="166">
        <f>G32+G35</f>
        <v>55.019999999999996</v>
      </c>
    </row>
  </sheetData>
  <mergeCells count="19">
    <mergeCell ref="A37:F37"/>
    <mergeCell ref="A24:F24"/>
    <mergeCell ref="A26:G26"/>
    <mergeCell ref="A30:F30"/>
    <mergeCell ref="A32:F32"/>
    <mergeCell ref="A34:G34"/>
    <mergeCell ref="A35:F35"/>
    <mergeCell ref="A21:G21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9:F19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B3" sqref="B3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25">
        <f>Presupuesto!B54</f>
        <v>47</v>
      </c>
      <c r="C3" s="262"/>
      <c r="D3" s="262"/>
      <c r="E3" s="37"/>
      <c r="F3" s="263"/>
      <c r="G3" s="263"/>
    </row>
    <row r="4" spans="1:7" x14ac:dyDescent="0.25">
      <c r="A4" s="37" t="s">
        <v>13</v>
      </c>
      <c r="B4" s="435" t="str">
        <f>Presupuesto!C54</f>
        <v>515330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35" t="str">
        <f>Presupuesto!D54</f>
        <v>Tablero medidor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35" t="str">
        <f>Presupuesto!E54</f>
        <v>u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 t="s">
        <v>79</v>
      </c>
      <c r="B12" s="49" t="s">
        <v>80</v>
      </c>
      <c r="C12" s="50" t="s">
        <v>81</v>
      </c>
      <c r="D12" s="51" t="s">
        <v>106</v>
      </c>
      <c r="E12" s="52"/>
      <c r="F12" s="51"/>
      <c r="G12" s="52">
        <f>ROUND(0.05*G30,2)</f>
        <v>2.12</v>
      </c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f>G12</f>
        <v>2.12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x14ac:dyDescent="0.25">
      <c r="A17" s="160" t="s">
        <v>442</v>
      </c>
      <c r="B17" s="161" t="s">
        <v>441</v>
      </c>
      <c r="C17" s="160" t="s">
        <v>48</v>
      </c>
      <c r="D17" s="162">
        <v>1</v>
      </c>
      <c r="E17" s="163">
        <v>160</v>
      </c>
      <c r="F17" s="131"/>
      <c r="G17" s="52">
        <f>ROUND(D17*E17,2)</f>
        <v>160</v>
      </c>
    </row>
    <row r="18" spans="1:7" x14ac:dyDescent="0.25">
      <c r="A18" s="378" t="s">
        <v>25</v>
      </c>
      <c r="B18" s="378"/>
      <c r="C18" s="378"/>
      <c r="D18" s="378"/>
      <c r="E18" s="378"/>
      <c r="F18" s="378"/>
      <c r="G18" s="56">
        <f>SUM(G17)</f>
        <v>160</v>
      </c>
    </row>
    <row r="19" spans="1:7" x14ac:dyDescent="0.25">
      <c r="A19" s="45"/>
      <c r="B19" s="46"/>
      <c r="C19" s="45"/>
      <c r="D19" s="47"/>
      <c r="E19" s="48"/>
      <c r="F19" s="47"/>
      <c r="G19" s="48"/>
    </row>
    <row r="20" spans="1:7" x14ac:dyDescent="0.25">
      <c r="A20" s="380" t="s">
        <v>26</v>
      </c>
      <c r="B20" s="381"/>
      <c r="C20" s="381"/>
      <c r="D20" s="381"/>
      <c r="E20" s="381"/>
      <c r="F20" s="381"/>
      <c r="G20" s="382"/>
    </row>
    <row r="21" spans="1:7" x14ac:dyDescent="0.25">
      <c r="A21" s="72" t="s">
        <v>18</v>
      </c>
      <c r="B21" s="72" t="s">
        <v>19</v>
      </c>
      <c r="C21" s="72" t="s">
        <v>3</v>
      </c>
      <c r="D21" s="72" t="s">
        <v>4</v>
      </c>
      <c r="E21" s="72" t="s">
        <v>27</v>
      </c>
      <c r="F21" s="72" t="s">
        <v>28</v>
      </c>
      <c r="G21" s="72" t="s">
        <v>22</v>
      </c>
    </row>
    <row r="22" spans="1:7" x14ac:dyDescent="0.25">
      <c r="A22" s="160"/>
      <c r="B22" s="161"/>
      <c r="C22" s="160"/>
      <c r="D22" s="162"/>
      <c r="E22" s="163"/>
      <c r="F22" s="131"/>
      <c r="G22" s="52"/>
    </row>
    <row r="23" spans="1:7" x14ac:dyDescent="0.25">
      <c r="A23" s="378" t="s">
        <v>29</v>
      </c>
      <c r="B23" s="379"/>
      <c r="C23" s="379"/>
      <c r="D23" s="379"/>
      <c r="E23" s="379"/>
      <c r="F23" s="379"/>
      <c r="G23" s="56">
        <v>0</v>
      </c>
    </row>
    <row r="24" spans="1:7" x14ac:dyDescent="0.25">
      <c r="A24" s="45"/>
      <c r="B24" s="46"/>
      <c r="C24" s="45"/>
      <c r="D24" s="47"/>
      <c r="E24" s="48"/>
      <c r="F24" s="47"/>
      <c r="G24" s="48"/>
    </row>
    <row r="25" spans="1:7" x14ac:dyDescent="0.25">
      <c r="A25" s="380" t="s">
        <v>30</v>
      </c>
      <c r="B25" s="381"/>
      <c r="C25" s="381"/>
      <c r="D25" s="381"/>
      <c r="E25" s="381"/>
      <c r="F25" s="381"/>
      <c r="G25" s="382"/>
    </row>
    <row r="26" spans="1:7" x14ac:dyDescent="0.25">
      <c r="A26" s="72" t="s">
        <v>18</v>
      </c>
      <c r="B26" s="72" t="s">
        <v>19</v>
      </c>
      <c r="C26" s="72"/>
      <c r="D26" s="72" t="s">
        <v>31</v>
      </c>
      <c r="E26" s="72" t="s">
        <v>32</v>
      </c>
      <c r="F26" s="72" t="s">
        <v>21</v>
      </c>
      <c r="G26" s="72" t="s">
        <v>22</v>
      </c>
    </row>
    <row r="27" spans="1:7" x14ac:dyDescent="0.25">
      <c r="A27" s="50" t="s">
        <v>74</v>
      </c>
      <c r="B27" s="164" t="s">
        <v>75</v>
      </c>
      <c r="C27" s="165"/>
      <c r="D27" s="51">
        <v>2</v>
      </c>
      <c r="E27" s="52">
        <v>3.41</v>
      </c>
      <c r="F27" s="51">
        <v>3</v>
      </c>
      <c r="G27" s="52">
        <f>ROUND(D27*E27*F27,2)</f>
        <v>20.46</v>
      </c>
    </row>
    <row r="28" spans="1:7" x14ac:dyDescent="0.25">
      <c r="A28" s="50" t="s">
        <v>439</v>
      </c>
      <c r="B28" s="164" t="s">
        <v>438</v>
      </c>
      <c r="C28" s="165"/>
      <c r="D28" s="51">
        <v>1</v>
      </c>
      <c r="E28" s="52">
        <v>3.45</v>
      </c>
      <c r="F28" s="51">
        <v>3</v>
      </c>
      <c r="G28" s="52">
        <f>ROUND(E28*F28*D28,2)</f>
        <v>10.35</v>
      </c>
    </row>
    <row r="29" spans="1:7" x14ac:dyDescent="0.25">
      <c r="A29" s="50" t="s">
        <v>90</v>
      </c>
      <c r="B29" s="164" t="s">
        <v>440</v>
      </c>
      <c r="C29" s="165"/>
      <c r="D29" s="51">
        <v>1</v>
      </c>
      <c r="E29" s="52">
        <v>3.83</v>
      </c>
      <c r="F29" s="51">
        <v>3</v>
      </c>
      <c r="G29" s="52">
        <f>ROUND(D29*E29*F29,2)</f>
        <v>11.49</v>
      </c>
    </row>
    <row r="30" spans="1:7" x14ac:dyDescent="0.25">
      <c r="A30" s="378" t="s">
        <v>33</v>
      </c>
      <c r="B30" s="378"/>
      <c r="C30" s="378"/>
      <c r="D30" s="378"/>
      <c r="E30" s="378"/>
      <c r="F30" s="378"/>
      <c r="G30" s="56">
        <f>SUM(G27:G29)</f>
        <v>42.300000000000004</v>
      </c>
    </row>
    <row r="31" spans="1:7" x14ac:dyDescent="0.25">
      <c r="A31" s="45"/>
      <c r="B31" s="46"/>
      <c r="C31" s="45"/>
      <c r="D31" s="47"/>
      <c r="E31" s="48"/>
      <c r="F31" s="47"/>
      <c r="G31" s="48"/>
    </row>
    <row r="32" spans="1:7" x14ac:dyDescent="0.25">
      <c r="A32" s="383" t="s">
        <v>34</v>
      </c>
      <c r="B32" s="384"/>
      <c r="C32" s="384"/>
      <c r="D32" s="384"/>
      <c r="E32" s="384"/>
      <c r="F32" s="384"/>
      <c r="G32" s="58">
        <f>G13+G30+G18</f>
        <v>204.42000000000002</v>
      </c>
    </row>
    <row r="33" spans="1:7" x14ac:dyDescent="0.25">
      <c r="A33" s="264"/>
      <c r="B33" s="265"/>
      <c r="C33" s="265"/>
      <c r="D33" s="265"/>
      <c r="E33" s="265"/>
      <c r="F33" s="265"/>
      <c r="G33" s="58"/>
    </row>
    <row r="34" spans="1:7" x14ac:dyDescent="0.25">
      <c r="A34" s="385" t="s">
        <v>35</v>
      </c>
      <c r="B34" s="386"/>
      <c r="C34" s="386"/>
      <c r="D34" s="386"/>
      <c r="E34" s="386"/>
      <c r="F34" s="386"/>
      <c r="G34" s="387"/>
    </row>
    <row r="35" spans="1:7" x14ac:dyDescent="0.25">
      <c r="A35" s="383" t="s">
        <v>78</v>
      </c>
      <c r="B35" s="384"/>
      <c r="C35" s="384"/>
      <c r="D35" s="384"/>
      <c r="E35" s="384"/>
      <c r="F35" s="384"/>
      <c r="G35" s="58">
        <f>ROUND(G32*0.21,2)</f>
        <v>42.93</v>
      </c>
    </row>
    <row r="36" spans="1:7" x14ac:dyDescent="0.25">
      <c r="A36" s="45"/>
      <c r="B36" s="46"/>
      <c r="C36" s="45"/>
      <c r="D36" s="47"/>
      <c r="E36" s="48"/>
      <c r="F36" s="47"/>
      <c r="G36" s="48"/>
    </row>
    <row r="37" spans="1:7" x14ac:dyDescent="0.25">
      <c r="A37" s="376" t="s">
        <v>36</v>
      </c>
      <c r="B37" s="377"/>
      <c r="C37" s="377"/>
      <c r="D37" s="377"/>
      <c r="E37" s="377"/>
      <c r="F37" s="377"/>
      <c r="G37" s="166">
        <f>G32+G35</f>
        <v>247.35000000000002</v>
      </c>
    </row>
  </sheetData>
  <mergeCells count="19">
    <mergeCell ref="A37:F37"/>
    <mergeCell ref="A23:F23"/>
    <mergeCell ref="A25:G25"/>
    <mergeCell ref="A30:F30"/>
    <mergeCell ref="A32:F32"/>
    <mergeCell ref="A34:G34"/>
    <mergeCell ref="A35:F35"/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B4" sqref="B4:B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Presupuesto!B10</f>
        <v>3</v>
      </c>
      <c r="C3" s="8"/>
      <c r="D3" s="8"/>
      <c r="E3" s="7"/>
      <c r="F3" s="9"/>
      <c r="G3" s="9"/>
    </row>
    <row r="4" spans="1:7" x14ac:dyDescent="0.25">
      <c r="A4" s="7" t="s">
        <v>13</v>
      </c>
      <c r="B4" s="256" t="str">
        <f>Presupuesto!C10</f>
        <v>519112</v>
      </c>
      <c r="C4" s="195"/>
      <c r="D4" s="195"/>
      <c r="E4" s="195"/>
      <c r="F4" s="195"/>
      <c r="G4" s="195"/>
    </row>
    <row r="5" spans="1:7" x14ac:dyDescent="0.25">
      <c r="A5" s="7" t="s">
        <v>14</v>
      </c>
      <c r="B5" s="256" t="str">
        <f>Presupuesto!D10</f>
        <v>Conformación compactación de subrasante</v>
      </c>
      <c r="C5" s="195"/>
      <c r="D5" s="195"/>
      <c r="E5" s="195"/>
      <c r="F5" s="195"/>
      <c r="G5" s="195"/>
    </row>
    <row r="6" spans="1:7" x14ac:dyDescent="0.25">
      <c r="A6" s="7" t="s">
        <v>15</v>
      </c>
      <c r="B6" s="256" t="str">
        <f>Presupuesto!E10</f>
        <v>m2</v>
      </c>
      <c r="C6" s="195"/>
      <c r="D6" s="195"/>
      <c r="E6" s="195"/>
      <c r="F6" s="195"/>
      <c r="G6" s="195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83</v>
      </c>
      <c r="B12" s="18" t="s">
        <v>84</v>
      </c>
      <c r="C12" s="19" t="s">
        <v>85</v>
      </c>
      <c r="D12" s="20">
        <v>1</v>
      </c>
      <c r="E12" s="21">
        <v>48</v>
      </c>
      <c r="F12" s="20">
        <v>3.0000000000000001E-3</v>
      </c>
      <c r="G12" s="21">
        <f>D12*E12*F12</f>
        <v>0.14400000000000002</v>
      </c>
    </row>
    <row r="13" spans="1:7" x14ac:dyDescent="0.25">
      <c r="A13" s="19" t="s">
        <v>86</v>
      </c>
      <c r="B13" s="18" t="s">
        <v>87</v>
      </c>
      <c r="C13" s="19" t="s">
        <v>85</v>
      </c>
      <c r="D13" s="20">
        <v>1</v>
      </c>
      <c r="E13" s="21">
        <v>30.21</v>
      </c>
      <c r="F13" s="20">
        <v>3.0000000000000001E-3</v>
      </c>
      <c r="G13" s="21">
        <f>D13*E13*F13</f>
        <v>9.0630000000000002E-2</v>
      </c>
    </row>
    <row r="14" spans="1:7" x14ac:dyDescent="0.25">
      <c r="A14" s="19" t="s">
        <v>88</v>
      </c>
      <c r="B14" s="18" t="s">
        <v>89</v>
      </c>
      <c r="C14" s="19" t="s">
        <v>85</v>
      </c>
      <c r="D14" s="20">
        <v>1</v>
      </c>
      <c r="E14" s="21">
        <v>15.9</v>
      </c>
      <c r="F14" s="20">
        <v>3.0000000000000001E-3</v>
      </c>
      <c r="G14" s="21">
        <f>D14*E14*F14</f>
        <v>4.7699999999999999E-2</v>
      </c>
    </row>
    <row r="15" spans="1:7" x14ac:dyDescent="0.25">
      <c r="A15" s="398" t="s">
        <v>23</v>
      </c>
      <c r="B15" s="398"/>
      <c r="C15" s="398"/>
      <c r="D15" s="398"/>
      <c r="E15" s="398"/>
      <c r="F15" s="398"/>
      <c r="G15" s="24">
        <f>SUM(G12:G14)</f>
        <v>0.28233000000000003</v>
      </c>
    </row>
    <row r="16" spans="1:7" x14ac:dyDescent="0.25">
      <c r="A16" s="14"/>
      <c r="B16" s="15"/>
      <c r="C16" s="14"/>
      <c r="D16" s="16"/>
      <c r="E16" s="17"/>
      <c r="F16" s="16"/>
      <c r="G16" s="17"/>
    </row>
    <row r="17" spans="1:7" x14ac:dyDescent="0.25">
      <c r="A17" s="395" t="s">
        <v>24</v>
      </c>
      <c r="B17" s="396"/>
      <c r="C17" s="396"/>
      <c r="D17" s="396"/>
      <c r="E17" s="396"/>
      <c r="F17" s="396"/>
      <c r="G17" s="397"/>
    </row>
    <row r="18" spans="1:7" x14ac:dyDescent="0.25">
      <c r="A18" s="27" t="s">
        <v>18</v>
      </c>
      <c r="B18" s="27" t="s">
        <v>19</v>
      </c>
      <c r="C18" s="27" t="s">
        <v>3</v>
      </c>
      <c r="D18" s="197" t="s">
        <v>4</v>
      </c>
      <c r="E18" s="189" t="s">
        <v>20</v>
      </c>
      <c r="F18" s="26"/>
      <c r="G18" s="189" t="s">
        <v>22</v>
      </c>
    </row>
    <row r="19" spans="1:7" x14ac:dyDescent="0.25">
      <c r="A19" s="19"/>
      <c r="B19" s="198"/>
      <c r="C19" s="19"/>
      <c r="D19" s="20"/>
      <c r="E19" s="21"/>
      <c r="F19" s="199"/>
      <c r="G19" s="21"/>
    </row>
    <row r="20" spans="1:7" x14ac:dyDescent="0.25">
      <c r="A20" s="398" t="s">
        <v>25</v>
      </c>
      <c r="B20" s="398"/>
      <c r="C20" s="398"/>
      <c r="D20" s="398"/>
      <c r="E20" s="398"/>
      <c r="F20" s="398"/>
      <c r="G20" s="24">
        <v>0</v>
      </c>
    </row>
    <row r="21" spans="1:7" x14ac:dyDescent="0.25">
      <c r="A21" s="14"/>
      <c r="B21" s="15"/>
      <c r="C21" s="14"/>
      <c r="D21" s="16"/>
      <c r="E21" s="17"/>
      <c r="F21" s="16"/>
      <c r="G21" s="17"/>
    </row>
    <row r="22" spans="1:7" x14ac:dyDescent="0.25">
      <c r="A22" s="395" t="s">
        <v>26</v>
      </c>
      <c r="B22" s="396"/>
      <c r="C22" s="396"/>
      <c r="D22" s="396"/>
      <c r="E22" s="396"/>
      <c r="F22" s="396"/>
      <c r="G22" s="397"/>
    </row>
    <row r="23" spans="1:7" x14ac:dyDescent="0.25">
      <c r="A23" s="27" t="s">
        <v>18</v>
      </c>
      <c r="B23" s="27" t="s">
        <v>19</v>
      </c>
      <c r="C23" s="27" t="s">
        <v>3</v>
      </c>
      <c r="D23" s="27" t="s">
        <v>4</v>
      </c>
      <c r="E23" s="27" t="s">
        <v>27</v>
      </c>
      <c r="F23" s="27" t="s">
        <v>28</v>
      </c>
      <c r="G23" s="27" t="s">
        <v>22</v>
      </c>
    </row>
    <row r="24" spans="1:7" x14ac:dyDescent="0.25">
      <c r="A24" s="22"/>
      <c r="B24" s="25"/>
      <c r="C24" s="22"/>
      <c r="D24" s="23"/>
      <c r="E24" s="24"/>
      <c r="F24" s="26"/>
      <c r="G24" s="21"/>
    </row>
    <row r="25" spans="1:7" x14ac:dyDescent="0.25">
      <c r="A25" s="393" t="s">
        <v>29</v>
      </c>
      <c r="B25" s="394"/>
      <c r="C25" s="394"/>
      <c r="D25" s="394"/>
      <c r="E25" s="394"/>
      <c r="F25" s="394"/>
      <c r="G25" s="24">
        <v>0</v>
      </c>
    </row>
    <row r="26" spans="1:7" x14ac:dyDescent="0.25">
      <c r="A26" s="14"/>
      <c r="B26" s="15"/>
      <c r="C26" s="14"/>
      <c r="D26" s="16"/>
      <c r="E26" s="17"/>
      <c r="F26" s="16"/>
      <c r="G26" s="17"/>
    </row>
    <row r="27" spans="1:7" x14ac:dyDescent="0.25">
      <c r="A27" s="395" t="s">
        <v>30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/>
      <c r="D28" s="27" t="s">
        <v>31</v>
      </c>
      <c r="E28" s="27" t="s">
        <v>32</v>
      </c>
      <c r="F28" s="27" t="s">
        <v>21</v>
      </c>
      <c r="G28" s="27" t="s">
        <v>22</v>
      </c>
    </row>
    <row r="29" spans="1:7" x14ac:dyDescent="0.25">
      <c r="A29" s="19" t="s">
        <v>90</v>
      </c>
      <c r="B29" s="198" t="s">
        <v>91</v>
      </c>
      <c r="C29" s="188"/>
      <c r="D29" s="20">
        <v>1</v>
      </c>
      <c r="E29" s="21">
        <v>3.83</v>
      </c>
      <c r="F29" s="20">
        <v>3.0000000000000001E-3</v>
      </c>
      <c r="G29" s="21">
        <f>D29*E29*F29</f>
        <v>1.149E-2</v>
      </c>
    </row>
    <row r="30" spans="1:7" x14ac:dyDescent="0.25">
      <c r="A30" s="22" t="s">
        <v>92</v>
      </c>
      <c r="B30" s="25" t="s">
        <v>93</v>
      </c>
      <c r="C30" s="27"/>
      <c r="D30" s="23">
        <v>1</v>
      </c>
      <c r="E30" s="24">
        <v>5</v>
      </c>
      <c r="F30" s="23">
        <v>3.0000000000000001E-3</v>
      </c>
      <c r="G30" s="24">
        <f>D30*E30*F30</f>
        <v>1.4999999999999999E-2</v>
      </c>
    </row>
    <row r="31" spans="1:7" x14ac:dyDescent="0.25">
      <c r="A31" s="22" t="s">
        <v>94</v>
      </c>
      <c r="B31" s="25" t="s">
        <v>95</v>
      </c>
      <c r="C31" s="27"/>
      <c r="D31" s="23">
        <v>1</v>
      </c>
      <c r="E31" s="24">
        <v>3.82</v>
      </c>
      <c r="F31" s="23">
        <v>3.0000000000000001E-3</v>
      </c>
      <c r="G31" s="24">
        <f>D31*E31*F31</f>
        <v>1.146E-2</v>
      </c>
    </row>
    <row r="32" spans="1:7" x14ac:dyDescent="0.25">
      <c r="A32" s="22" t="s">
        <v>96</v>
      </c>
      <c r="B32" s="25" t="s">
        <v>97</v>
      </c>
      <c r="C32" s="27"/>
      <c r="D32" s="23">
        <v>1</v>
      </c>
      <c r="E32" s="24">
        <v>3.64</v>
      </c>
      <c r="F32" s="23">
        <v>3.0000000000000001E-3</v>
      </c>
      <c r="G32" s="24">
        <f>D32*E32*F32</f>
        <v>1.0920000000000001E-2</v>
      </c>
    </row>
    <row r="33" spans="1:7" x14ac:dyDescent="0.25">
      <c r="A33" s="22" t="s">
        <v>98</v>
      </c>
      <c r="B33" s="25" t="s">
        <v>99</v>
      </c>
      <c r="C33" s="27"/>
      <c r="D33" s="23">
        <v>1</v>
      </c>
      <c r="E33" s="24">
        <v>3.5</v>
      </c>
      <c r="F33" s="23">
        <v>3.0000000000000001E-3</v>
      </c>
      <c r="G33" s="24">
        <f>D33*E33*F33</f>
        <v>1.0500000000000001E-2</v>
      </c>
    </row>
    <row r="34" spans="1:7" x14ac:dyDescent="0.25">
      <c r="A34" s="398" t="s">
        <v>33</v>
      </c>
      <c r="B34" s="398"/>
      <c r="C34" s="398"/>
      <c r="D34" s="398"/>
      <c r="E34" s="398"/>
      <c r="F34" s="398"/>
      <c r="G34" s="24">
        <f>SUM(G29:G33)</f>
        <v>5.9369999999999999E-2</v>
      </c>
    </row>
    <row r="35" spans="1:7" x14ac:dyDescent="0.25">
      <c r="A35" s="14"/>
      <c r="B35" s="15"/>
      <c r="C35" s="14"/>
      <c r="D35" s="16"/>
      <c r="E35" s="17"/>
      <c r="F35" s="16"/>
      <c r="G35" s="17"/>
    </row>
    <row r="36" spans="1:7" x14ac:dyDescent="0.25">
      <c r="A36" s="399" t="s">
        <v>34</v>
      </c>
      <c r="B36" s="400"/>
      <c r="C36" s="400"/>
      <c r="D36" s="400"/>
      <c r="E36" s="400"/>
      <c r="F36" s="400"/>
      <c r="G36" s="5">
        <f>+G34+G25+G20+G15</f>
        <v>0.3417</v>
      </c>
    </row>
    <row r="37" spans="1:7" x14ac:dyDescent="0.25">
      <c r="A37" s="28"/>
      <c r="B37" s="29"/>
      <c r="C37" s="29"/>
      <c r="D37" s="29"/>
      <c r="E37" s="29"/>
      <c r="F37" s="29"/>
      <c r="G37" s="5"/>
    </row>
    <row r="38" spans="1:7" x14ac:dyDescent="0.25">
      <c r="A38" s="401" t="s">
        <v>35</v>
      </c>
      <c r="B38" s="402"/>
      <c r="C38" s="402"/>
      <c r="D38" s="402"/>
      <c r="E38" s="402"/>
      <c r="F38" s="402"/>
      <c r="G38" s="403"/>
    </row>
    <row r="39" spans="1:7" x14ac:dyDescent="0.25">
      <c r="A39" s="399" t="s">
        <v>78</v>
      </c>
      <c r="B39" s="400"/>
      <c r="C39" s="400"/>
      <c r="D39" s="400"/>
      <c r="E39" s="400"/>
      <c r="F39" s="400"/>
      <c r="G39" s="5">
        <f>0.21*G36</f>
        <v>7.1757000000000001E-2</v>
      </c>
    </row>
    <row r="40" spans="1:7" x14ac:dyDescent="0.25">
      <c r="A40" s="14"/>
      <c r="B40" s="15"/>
      <c r="C40" s="14"/>
      <c r="D40" s="16"/>
      <c r="E40" s="17"/>
      <c r="F40" s="16"/>
      <c r="G40" s="17"/>
    </row>
    <row r="41" spans="1:7" x14ac:dyDescent="0.25">
      <c r="A41" s="391" t="s">
        <v>36</v>
      </c>
      <c r="B41" s="392"/>
      <c r="C41" s="392"/>
      <c r="D41" s="392"/>
      <c r="E41" s="392"/>
      <c r="F41" s="392"/>
      <c r="G41" s="200">
        <f>G36+G39</f>
        <v>0.41345700000000002</v>
      </c>
    </row>
  </sheetData>
  <mergeCells count="16">
    <mergeCell ref="A22:G22"/>
    <mergeCell ref="A1:F1"/>
    <mergeCell ref="B2:D2"/>
    <mergeCell ref="F2:G2"/>
    <mergeCell ref="A8:G8"/>
    <mergeCell ref="A10:G10"/>
    <mergeCell ref="A15:F15"/>
    <mergeCell ref="A17:G17"/>
    <mergeCell ref="A20:F20"/>
    <mergeCell ref="A41:F41"/>
    <mergeCell ref="A25:F25"/>
    <mergeCell ref="A27:G27"/>
    <mergeCell ref="A34:F34"/>
    <mergeCell ref="A36:F36"/>
    <mergeCell ref="A38:G38"/>
    <mergeCell ref="A39:F39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A29" sqref="A29:F29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25">
        <f>Presupuesto!B55</f>
        <v>48</v>
      </c>
      <c r="C3" s="288"/>
      <c r="D3" s="288"/>
      <c r="E3" s="37"/>
      <c r="F3" s="289"/>
      <c r="G3" s="289"/>
    </row>
    <row r="4" spans="1:7" x14ac:dyDescent="0.25">
      <c r="A4" s="37" t="s">
        <v>13</v>
      </c>
      <c r="B4" s="435" t="str">
        <f>Presupuesto!C55</f>
        <v>500325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35" t="str">
        <f>Presupuesto!D55</f>
        <v>Rasanteo y conformación de taludes a mano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35" t="str">
        <f>Presupuesto!E55</f>
        <v>m2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 t="s">
        <v>79</v>
      </c>
      <c r="B12" s="49" t="s">
        <v>80</v>
      </c>
      <c r="C12" s="50" t="s">
        <v>81</v>
      </c>
      <c r="D12" s="51" t="s">
        <v>82</v>
      </c>
      <c r="E12" s="52"/>
      <c r="F12" s="51"/>
      <c r="G12" s="52">
        <f>ROUND(0.02*G29,2)</f>
        <v>0.03</v>
      </c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f>G12</f>
        <v>0.03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x14ac:dyDescent="0.25">
      <c r="A17" s="50"/>
      <c r="B17" s="164"/>
      <c r="C17" s="50"/>
      <c r="D17" s="51"/>
      <c r="E17" s="52"/>
      <c r="F17" s="234"/>
      <c r="G17" s="52"/>
    </row>
    <row r="18" spans="1:7" x14ac:dyDescent="0.25">
      <c r="A18" s="378" t="s">
        <v>25</v>
      </c>
      <c r="B18" s="378"/>
      <c r="C18" s="378"/>
      <c r="D18" s="378"/>
      <c r="E18" s="378"/>
      <c r="F18" s="378"/>
      <c r="G18" s="56">
        <v>0</v>
      </c>
    </row>
    <row r="19" spans="1:7" x14ac:dyDescent="0.25">
      <c r="A19" s="45"/>
      <c r="B19" s="46"/>
      <c r="C19" s="45"/>
      <c r="D19" s="47"/>
      <c r="E19" s="48"/>
      <c r="F19" s="47"/>
      <c r="G19" s="48"/>
    </row>
    <row r="20" spans="1:7" x14ac:dyDescent="0.25">
      <c r="A20" s="380" t="s">
        <v>26</v>
      </c>
      <c r="B20" s="381"/>
      <c r="C20" s="381"/>
      <c r="D20" s="381"/>
      <c r="E20" s="381"/>
      <c r="F20" s="381"/>
      <c r="G20" s="382"/>
    </row>
    <row r="21" spans="1:7" x14ac:dyDescent="0.25">
      <c r="A21" s="72" t="s">
        <v>18</v>
      </c>
      <c r="B21" s="72" t="s">
        <v>19</v>
      </c>
      <c r="C21" s="72" t="s">
        <v>3</v>
      </c>
      <c r="D21" s="72" t="s">
        <v>4</v>
      </c>
      <c r="E21" s="72" t="s">
        <v>27</v>
      </c>
      <c r="F21" s="72" t="s">
        <v>28</v>
      </c>
      <c r="G21" s="72" t="s">
        <v>22</v>
      </c>
    </row>
    <row r="22" spans="1:7" x14ac:dyDescent="0.25">
      <c r="A22" s="160"/>
      <c r="B22" s="161"/>
      <c r="C22" s="160"/>
      <c r="D22" s="162"/>
      <c r="E22" s="163"/>
      <c r="F22" s="131"/>
      <c r="G22" s="52"/>
    </row>
    <row r="23" spans="1:7" x14ac:dyDescent="0.25">
      <c r="A23" s="378" t="s">
        <v>29</v>
      </c>
      <c r="B23" s="379"/>
      <c r="C23" s="379"/>
      <c r="D23" s="379"/>
      <c r="E23" s="379"/>
      <c r="F23" s="379"/>
      <c r="G23" s="56">
        <v>0</v>
      </c>
    </row>
    <row r="24" spans="1:7" x14ac:dyDescent="0.25">
      <c r="A24" s="45"/>
      <c r="B24" s="46"/>
      <c r="C24" s="45"/>
      <c r="D24" s="47"/>
      <c r="E24" s="48"/>
      <c r="F24" s="47"/>
      <c r="G24" s="48"/>
    </row>
    <row r="25" spans="1:7" x14ac:dyDescent="0.25">
      <c r="A25" s="380" t="s">
        <v>30</v>
      </c>
      <c r="B25" s="381"/>
      <c r="C25" s="381"/>
      <c r="D25" s="381"/>
      <c r="E25" s="381"/>
      <c r="F25" s="381"/>
      <c r="G25" s="382"/>
    </row>
    <row r="26" spans="1:7" x14ac:dyDescent="0.25">
      <c r="A26" s="72" t="s">
        <v>18</v>
      </c>
      <c r="B26" s="72" t="s">
        <v>19</v>
      </c>
      <c r="C26" s="72"/>
      <c r="D26" s="72" t="s">
        <v>31</v>
      </c>
      <c r="E26" s="72" t="s">
        <v>32</v>
      </c>
      <c r="F26" s="72" t="s">
        <v>21</v>
      </c>
      <c r="G26" s="72" t="s">
        <v>22</v>
      </c>
    </row>
    <row r="27" spans="1:7" x14ac:dyDescent="0.25">
      <c r="A27" s="50" t="s">
        <v>74</v>
      </c>
      <c r="B27" s="164" t="s">
        <v>75</v>
      </c>
      <c r="C27" s="165"/>
      <c r="D27" s="51">
        <v>4</v>
      </c>
      <c r="E27" s="52">
        <v>3.41</v>
      </c>
      <c r="F27" s="51">
        <v>0.1</v>
      </c>
      <c r="G27" s="52">
        <f>ROUND(D27*E27*F27,2)</f>
        <v>1.36</v>
      </c>
    </row>
    <row r="28" spans="1:7" x14ac:dyDescent="0.25">
      <c r="A28" s="50" t="s">
        <v>463</v>
      </c>
      <c r="B28" s="164" t="s">
        <v>77</v>
      </c>
      <c r="C28" s="165"/>
      <c r="D28" s="51">
        <v>1</v>
      </c>
      <c r="E28" s="52">
        <v>3.45</v>
      </c>
      <c r="F28" s="51">
        <v>0.1</v>
      </c>
      <c r="G28" s="52">
        <f>ROUND(D28*E28*F28,2)</f>
        <v>0.35</v>
      </c>
    </row>
    <row r="29" spans="1:7" x14ac:dyDescent="0.25">
      <c r="A29" s="378" t="s">
        <v>33</v>
      </c>
      <c r="B29" s="378"/>
      <c r="C29" s="378"/>
      <c r="D29" s="378"/>
      <c r="E29" s="378"/>
      <c r="F29" s="378"/>
      <c r="G29" s="56">
        <f>SUM(G27:G28)</f>
        <v>1.71</v>
      </c>
    </row>
    <row r="30" spans="1:7" x14ac:dyDescent="0.25">
      <c r="A30" s="45"/>
      <c r="B30" s="46"/>
      <c r="C30" s="45"/>
      <c r="D30" s="47"/>
      <c r="E30" s="48"/>
      <c r="F30" s="47"/>
      <c r="G30" s="48"/>
    </row>
    <row r="31" spans="1:7" x14ac:dyDescent="0.25">
      <c r="A31" s="383" t="s">
        <v>34</v>
      </c>
      <c r="B31" s="384"/>
      <c r="C31" s="384"/>
      <c r="D31" s="384"/>
      <c r="E31" s="384"/>
      <c r="F31" s="384"/>
      <c r="G31" s="58">
        <f>G13+G29</f>
        <v>1.74</v>
      </c>
    </row>
    <row r="32" spans="1:7" x14ac:dyDescent="0.25">
      <c r="A32" s="286"/>
      <c r="B32" s="287"/>
      <c r="C32" s="287"/>
      <c r="D32" s="287"/>
      <c r="E32" s="287"/>
      <c r="F32" s="287"/>
      <c r="G32" s="58"/>
    </row>
    <row r="33" spans="1:7" x14ac:dyDescent="0.25">
      <c r="A33" s="385" t="s">
        <v>35</v>
      </c>
      <c r="B33" s="386"/>
      <c r="C33" s="386"/>
      <c r="D33" s="386"/>
      <c r="E33" s="386"/>
      <c r="F33" s="386"/>
      <c r="G33" s="387"/>
    </row>
    <row r="34" spans="1:7" x14ac:dyDescent="0.25">
      <c r="A34" s="383" t="s">
        <v>78</v>
      </c>
      <c r="B34" s="384"/>
      <c r="C34" s="384"/>
      <c r="D34" s="384"/>
      <c r="E34" s="384"/>
      <c r="F34" s="384"/>
      <c r="G34" s="58">
        <f>ROUND(G31*0.21,2)</f>
        <v>0.37</v>
      </c>
    </row>
    <row r="35" spans="1:7" x14ac:dyDescent="0.25">
      <c r="A35" s="45"/>
      <c r="B35" s="46"/>
      <c r="C35" s="45"/>
      <c r="D35" s="47"/>
      <c r="E35" s="48"/>
      <c r="F35" s="47"/>
      <c r="G35" s="48"/>
    </row>
    <row r="36" spans="1:7" x14ac:dyDescent="0.25">
      <c r="A36" s="376" t="s">
        <v>36</v>
      </c>
      <c r="B36" s="377"/>
      <c r="C36" s="377"/>
      <c r="D36" s="377"/>
      <c r="E36" s="377"/>
      <c r="F36" s="377"/>
      <c r="G36" s="166">
        <f>G31+G34</f>
        <v>2.11</v>
      </c>
    </row>
  </sheetData>
  <mergeCells count="19"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  <mergeCell ref="A36:F36"/>
    <mergeCell ref="A23:F23"/>
    <mergeCell ref="A25:G25"/>
    <mergeCell ref="A29:F29"/>
    <mergeCell ref="A31:F31"/>
    <mergeCell ref="A33:G33"/>
    <mergeCell ref="A34:F34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7" workbookViewId="0">
      <selection activeCell="F31" sqref="F31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297" t="s">
        <v>12</v>
      </c>
      <c r="B3" s="295">
        <f>Presupuesto!B56</f>
        <v>49</v>
      </c>
      <c r="C3" s="296"/>
      <c r="D3" s="296"/>
      <c r="E3" s="297"/>
      <c r="F3" s="296"/>
      <c r="G3" s="296"/>
    </row>
    <row r="4" spans="1:7" x14ac:dyDescent="0.25">
      <c r="A4" s="297" t="s">
        <v>13</v>
      </c>
      <c r="B4" s="435" t="str">
        <f>Presupuesto!C56</f>
        <v>500007M</v>
      </c>
      <c r="C4" s="415"/>
      <c r="D4" s="415"/>
      <c r="E4" s="415"/>
      <c r="F4" s="415"/>
      <c r="G4" s="415"/>
    </row>
    <row r="5" spans="1:7" x14ac:dyDescent="0.25">
      <c r="A5" s="297" t="s">
        <v>14</v>
      </c>
      <c r="B5" s="435" t="str">
        <f>Presupuesto!D56</f>
        <v>Picado y corchado de paredes para instalaciones eléctricas e hidráulicas</v>
      </c>
      <c r="C5" s="415"/>
      <c r="D5" s="415"/>
      <c r="E5" s="415"/>
      <c r="F5" s="415"/>
      <c r="G5" s="415"/>
    </row>
    <row r="6" spans="1:7" x14ac:dyDescent="0.25">
      <c r="A6" s="297" t="s">
        <v>15</v>
      </c>
      <c r="B6" s="435" t="str">
        <f>Presupuesto!E56</f>
        <v>m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 t="s">
        <v>79</v>
      </c>
      <c r="B12" s="49" t="s">
        <v>80</v>
      </c>
      <c r="C12" s="50" t="s">
        <v>81</v>
      </c>
      <c r="D12" s="51" t="s">
        <v>106</v>
      </c>
      <c r="E12" s="52"/>
      <c r="F12" s="51"/>
      <c r="G12" s="52">
        <f>ROUND(0.05*G33,2)</f>
        <v>0.18</v>
      </c>
    </row>
    <row r="13" spans="1:7" x14ac:dyDescent="0.25">
      <c r="A13" s="50" t="s">
        <v>228</v>
      </c>
      <c r="B13" s="49" t="s">
        <v>475</v>
      </c>
      <c r="C13" s="50" t="s">
        <v>48</v>
      </c>
      <c r="D13" s="51">
        <v>1</v>
      </c>
      <c r="E13" s="52">
        <v>1.25</v>
      </c>
      <c r="F13" s="51">
        <v>0.5</v>
      </c>
      <c r="G13" s="52">
        <f>ROUND(D13*E13*F13,2)</f>
        <v>0.63</v>
      </c>
    </row>
    <row r="14" spans="1:7" x14ac:dyDescent="0.25">
      <c r="A14" s="378" t="s">
        <v>23</v>
      </c>
      <c r="B14" s="378"/>
      <c r="C14" s="378"/>
      <c r="D14" s="378"/>
      <c r="E14" s="378"/>
      <c r="F14" s="378"/>
      <c r="G14" s="56">
        <f>SUM(G12:G13)</f>
        <v>0.81</v>
      </c>
    </row>
    <row r="15" spans="1:7" x14ac:dyDescent="0.25">
      <c r="A15" s="45"/>
      <c r="B15" s="46"/>
      <c r="C15" s="45"/>
      <c r="D15" s="47"/>
      <c r="E15" s="48"/>
      <c r="F15" s="47"/>
      <c r="G15" s="48"/>
    </row>
    <row r="16" spans="1:7" x14ac:dyDescent="0.25">
      <c r="A16" s="380" t="s">
        <v>24</v>
      </c>
      <c r="B16" s="381"/>
      <c r="C16" s="381"/>
      <c r="D16" s="381"/>
      <c r="E16" s="381"/>
      <c r="F16" s="381"/>
      <c r="G16" s="382"/>
    </row>
    <row r="17" spans="1:7" x14ac:dyDescent="0.25">
      <c r="A17" s="72" t="s">
        <v>18</v>
      </c>
      <c r="B17" s="72" t="s">
        <v>19</v>
      </c>
      <c r="C17" s="72" t="s">
        <v>3</v>
      </c>
      <c r="D17" s="233" t="s">
        <v>4</v>
      </c>
      <c r="E17" s="159" t="s">
        <v>20</v>
      </c>
      <c r="F17" s="57"/>
      <c r="G17" s="159" t="s">
        <v>22</v>
      </c>
    </row>
    <row r="18" spans="1:7" x14ac:dyDescent="0.25">
      <c r="A18" s="50" t="s">
        <v>228</v>
      </c>
      <c r="B18" s="164" t="s">
        <v>108</v>
      </c>
      <c r="C18" s="50" t="s">
        <v>476</v>
      </c>
      <c r="D18" s="51">
        <v>2.2599999999999999E-2</v>
      </c>
      <c r="E18" s="52">
        <v>7.15</v>
      </c>
      <c r="F18" s="234"/>
      <c r="G18" s="52">
        <f>ROUND(D18*E18,2)</f>
        <v>0.16</v>
      </c>
    </row>
    <row r="19" spans="1:7" x14ac:dyDescent="0.25">
      <c r="A19" s="50" t="s">
        <v>228</v>
      </c>
      <c r="B19" s="164" t="s">
        <v>477</v>
      </c>
      <c r="C19" s="50" t="s">
        <v>43</v>
      </c>
      <c r="D19" s="51">
        <v>3.0999999999999999E-3</v>
      </c>
      <c r="E19" s="52">
        <v>15</v>
      </c>
      <c r="F19" s="234"/>
      <c r="G19" s="52">
        <f>ROUND(D19*E19,2)</f>
        <v>0.05</v>
      </c>
    </row>
    <row r="20" spans="1:7" x14ac:dyDescent="0.25">
      <c r="A20" s="50" t="s">
        <v>228</v>
      </c>
      <c r="B20" s="164" t="s">
        <v>411</v>
      </c>
      <c r="C20" s="50" t="s">
        <v>43</v>
      </c>
      <c r="D20" s="51">
        <v>8.0000000000000004E-4</v>
      </c>
      <c r="E20" s="52">
        <v>1.03</v>
      </c>
      <c r="F20" s="234"/>
      <c r="G20" s="52">
        <f>ROUND(D20*E20,2)</f>
        <v>0</v>
      </c>
    </row>
    <row r="21" spans="1:7" x14ac:dyDescent="0.25">
      <c r="A21" s="378" t="s">
        <v>25</v>
      </c>
      <c r="B21" s="378"/>
      <c r="C21" s="378"/>
      <c r="D21" s="378"/>
      <c r="E21" s="378"/>
      <c r="F21" s="378"/>
      <c r="G21" s="56">
        <f>SUM(G18:G20)</f>
        <v>0.21000000000000002</v>
      </c>
    </row>
    <row r="22" spans="1:7" x14ac:dyDescent="0.25">
      <c r="A22" s="45"/>
      <c r="B22" s="46"/>
      <c r="C22" s="45"/>
      <c r="D22" s="47"/>
      <c r="E22" s="48"/>
      <c r="F22" s="47"/>
      <c r="G22" s="48"/>
    </row>
    <row r="23" spans="1:7" x14ac:dyDescent="0.25">
      <c r="A23" s="380" t="s">
        <v>26</v>
      </c>
      <c r="B23" s="381"/>
      <c r="C23" s="381"/>
      <c r="D23" s="381"/>
      <c r="E23" s="381"/>
      <c r="F23" s="381"/>
      <c r="G23" s="382"/>
    </row>
    <row r="24" spans="1:7" x14ac:dyDescent="0.25">
      <c r="A24" s="72" t="s">
        <v>18</v>
      </c>
      <c r="B24" s="72" t="s">
        <v>19</v>
      </c>
      <c r="C24" s="72" t="s">
        <v>3</v>
      </c>
      <c r="D24" s="72" t="s">
        <v>4</v>
      </c>
      <c r="E24" s="72" t="s">
        <v>27</v>
      </c>
      <c r="F24" s="72" t="s">
        <v>28</v>
      </c>
      <c r="G24" s="72" t="s">
        <v>22</v>
      </c>
    </row>
    <row r="25" spans="1:7" x14ac:dyDescent="0.25">
      <c r="A25" s="160"/>
      <c r="B25" s="161"/>
      <c r="C25" s="160"/>
      <c r="D25" s="162"/>
      <c r="E25" s="163"/>
      <c r="F25" s="131"/>
      <c r="G25" s="52"/>
    </row>
    <row r="26" spans="1:7" x14ac:dyDescent="0.25">
      <c r="A26" s="378" t="s">
        <v>29</v>
      </c>
      <c r="B26" s="379"/>
      <c r="C26" s="379"/>
      <c r="D26" s="379"/>
      <c r="E26" s="379"/>
      <c r="F26" s="379"/>
      <c r="G26" s="56">
        <v>0</v>
      </c>
    </row>
    <row r="27" spans="1:7" x14ac:dyDescent="0.25">
      <c r="A27" s="45"/>
      <c r="B27" s="46"/>
      <c r="C27" s="45"/>
      <c r="D27" s="47"/>
      <c r="E27" s="48"/>
      <c r="F27" s="47"/>
      <c r="G27" s="48"/>
    </row>
    <row r="28" spans="1:7" x14ac:dyDescent="0.25">
      <c r="A28" s="380" t="s">
        <v>30</v>
      </c>
      <c r="B28" s="381"/>
      <c r="C28" s="381"/>
      <c r="D28" s="381"/>
      <c r="E28" s="381"/>
      <c r="F28" s="381"/>
      <c r="G28" s="382"/>
    </row>
    <row r="29" spans="1:7" x14ac:dyDescent="0.25">
      <c r="A29" s="72" t="s">
        <v>18</v>
      </c>
      <c r="B29" s="72" t="s">
        <v>19</v>
      </c>
      <c r="C29" s="72"/>
      <c r="D29" s="72" t="s">
        <v>31</v>
      </c>
      <c r="E29" s="72" t="s">
        <v>32</v>
      </c>
      <c r="F29" s="72" t="s">
        <v>21</v>
      </c>
      <c r="G29" s="72" t="s">
        <v>22</v>
      </c>
    </row>
    <row r="30" spans="1:7" x14ac:dyDescent="0.25">
      <c r="A30" s="50" t="s">
        <v>74</v>
      </c>
      <c r="B30" s="164" t="s">
        <v>75</v>
      </c>
      <c r="C30" s="165"/>
      <c r="D30" s="51">
        <v>1</v>
      </c>
      <c r="E30" s="52">
        <v>3.41</v>
      </c>
      <c r="F30" s="51">
        <v>0.5</v>
      </c>
      <c r="G30" s="52">
        <f>ROUND(D30*E30*F30,2)</f>
        <v>1.71</v>
      </c>
    </row>
    <row r="31" spans="1:7" x14ac:dyDescent="0.25">
      <c r="A31" s="50" t="s">
        <v>228</v>
      </c>
      <c r="B31" s="164" t="s">
        <v>77</v>
      </c>
      <c r="C31" s="165"/>
      <c r="D31" s="51">
        <v>1</v>
      </c>
      <c r="E31" s="52">
        <v>3.45</v>
      </c>
      <c r="F31" s="51">
        <v>0.5</v>
      </c>
      <c r="G31" s="52">
        <f t="shared" ref="G31:G32" si="0">ROUND(D31*E31*F31,2)</f>
        <v>1.73</v>
      </c>
    </row>
    <row r="32" spans="1:7" x14ac:dyDescent="0.25">
      <c r="A32" s="50" t="s">
        <v>228</v>
      </c>
      <c r="B32" s="164" t="s">
        <v>479</v>
      </c>
      <c r="C32" s="165"/>
      <c r="D32" s="51">
        <v>0.1</v>
      </c>
      <c r="E32" s="52">
        <v>3.82</v>
      </c>
      <c r="F32" s="51">
        <v>0.5</v>
      </c>
      <c r="G32" s="52">
        <f t="shared" si="0"/>
        <v>0.19</v>
      </c>
    </row>
    <row r="33" spans="1:7" x14ac:dyDescent="0.25">
      <c r="A33" s="378" t="s">
        <v>478</v>
      </c>
      <c r="B33" s="378"/>
      <c r="C33" s="378"/>
      <c r="D33" s="378"/>
      <c r="E33" s="378"/>
      <c r="F33" s="378"/>
      <c r="G33" s="56">
        <f>SUM(G30:G32)</f>
        <v>3.63</v>
      </c>
    </row>
    <row r="34" spans="1:7" x14ac:dyDescent="0.25">
      <c r="A34" s="45"/>
      <c r="B34" s="46"/>
      <c r="C34" s="45"/>
      <c r="D34" s="47"/>
      <c r="E34" s="48"/>
      <c r="F34" s="47"/>
      <c r="G34" s="48"/>
    </row>
    <row r="35" spans="1:7" x14ac:dyDescent="0.25">
      <c r="A35" s="383" t="s">
        <v>34</v>
      </c>
      <c r="B35" s="384"/>
      <c r="C35" s="384"/>
      <c r="D35" s="384"/>
      <c r="E35" s="384"/>
      <c r="F35" s="384"/>
      <c r="G35" s="58">
        <f>G14+G33+G21</f>
        <v>4.6499999999999995</v>
      </c>
    </row>
    <row r="36" spans="1:7" x14ac:dyDescent="0.25">
      <c r="A36" s="293"/>
      <c r="B36" s="294"/>
      <c r="C36" s="294"/>
      <c r="D36" s="294"/>
      <c r="E36" s="294"/>
      <c r="F36" s="294"/>
      <c r="G36" s="58"/>
    </row>
    <row r="37" spans="1:7" x14ac:dyDescent="0.25">
      <c r="A37" s="385" t="s">
        <v>35</v>
      </c>
      <c r="B37" s="386"/>
      <c r="C37" s="386"/>
      <c r="D37" s="386"/>
      <c r="E37" s="386"/>
      <c r="F37" s="386"/>
      <c r="G37" s="387"/>
    </row>
    <row r="38" spans="1:7" x14ac:dyDescent="0.25">
      <c r="A38" s="383" t="s">
        <v>78</v>
      </c>
      <c r="B38" s="384"/>
      <c r="C38" s="384"/>
      <c r="D38" s="384"/>
      <c r="E38" s="384"/>
      <c r="F38" s="384"/>
      <c r="G38" s="58">
        <f>ROUND(G35*0.21,2)</f>
        <v>0.98</v>
      </c>
    </row>
    <row r="39" spans="1:7" x14ac:dyDescent="0.25">
      <c r="A39" s="45"/>
      <c r="B39" s="46"/>
      <c r="C39" s="45"/>
      <c r="D39" s="47"/>
      <c r="E39" s="48"/>
      <c r="F39" s="47"/>
      <c r="G39" s="48"/>
    </row>
    <row r="40" spans="1:7" x14ac:dyDescent="0.25">
      <c r="A40" s="376" t="s">
        <v>36</v>
      </c>
      <c r="B40" s="377"/>
      <c r="C40" s="377"/>
      <c r="D40" s="377"/>
      <c r="E40" s="377"/>
      <c r="F40" s="377"/>
      <c r="G40" s="166">
        <f>G35+G38</f>
        <v>5.629999999999999</v>
      </c>
    </row>
  </sheetData>
  <mergeCells count="19">
    <mergeCell ref="A40:F40"/>
    <mergeCell ref="A26:F26"/>
    <mergeCell ref="A28:G28"/>
    <mergeCell ref="A33:F33"/>
    <mergeCell ref="A35:F35"/>
    <mergeCell ref="A37:G37"/>
    <mergeCell ref="A38:F38"/>
    <mergeCell ref="A23:G23"/>
    <mergeCell ref="A1:F1"/>
    <mergeCell ref="B2:D2"/>
    <mergeCell ref="F2:G2"/>
    <mergeCell ref="B4:G4"/>
    <mergeCell ref="B5:G5"/>
    <mergeCell ref="B6:G6"/>
    <mergeCell ref="A8:G8"/>
    <mergeCell ref="A10:G10"/>
    <mergeCell ref="A14:F14"/>
    <mergeCell ref="A16:G16"/>
    <mergeCell ref="A21:F21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10" workbookViewId="0">
      <selection activeCell="G37" sqref="G37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25">
        <v>62</v>
      </c>
      <c r="C3" s="302"/>
      <c r="D3" s="302"/>
      <c r="E3" s="37"/>
      <c r="F3" s="303"/>
      <c r="G3" s="303"/>
    </row>
    <row r="4" spans="1:7" x14ac:dyDescent="0.25">
      <c r="A4" s="37" t="s">
        <v>13</v>
      </c>
      <c r="B4" s="438">
        <v>515294</v>
      </c>
      <c r="C4" s="389"/>
      <c r="D4" s="389"/>
      <c r="E4" s="389"/>
      <c r="F4" s="389"/>
      <c r="G4" s="389"/>
    </row>
    <row r="5" spans="1:7" x14ac:dyDescent="0.25">
      <c r="A5" s="37" t="s">
        <v>14</v>
      </c>
      <c r="B5" s="438" t="s">
        <v>489</v>
      </c>
      <c r="C5" s="389"/>
      <c r="D5" s="389"/>
      <c r="E5" s="389"/>
      <c r="F5" s="389"/>
      <c r="G5" s="389"/>
    </row>
    <row r="6" spans="1:7" x14ac:dyDescent="0.25">
      <c r="A6" s="37" t="s">
        <v>15</v>
      </c>
      <c r="B6" s="438" t="s">
        <v>50</v>
      </c>
      <c r="C6" s="389"/>
      <c r="D6" s="389"/>
      <c r="E6" s="389"/>
      <c r="F6" s="389"/>
      <c r="G6" s="389"/>
    </row>
    <row r="7" spans="1:7" ht="13.8" thickBot="1" x14ac:dyDescent="0.3">
      <c r="A7" s="41"/>
      <c r="B7" s="42"/>
      <c r="C7" s="43"/>
      <c r="D7" s="44"/>
      <c r="E7" s="44"/>
      <c r="F7" s="44"/>
      <c r="G7" s="44"/>
    </row>
    <row r="8" spans="1:7" ht="13.8" thickBot="1" x14ac:dyDescent="0.3">
      <c r="A8" s="428" t="s">
        <v>16</v>
      </c>
      <c r="B8" s="429"/>
      <c r="C8" s="429"/>
      <c r="D8" s="429"/>
      <c r="E8" s="429"/>
      <c r="F8" s="429"/>
      <c r="G8" s="430"/>
    </row>
    <row r="9" spans="1:7" ht="13.8" thickBot="1" x14ac:dyDescent="0.3">
      <c r="A9" s="45"/>
      <c r="B9" s="46"/>
      <c r="C9" s="45"/>
      <c r="D9" s="47"/>
      <c r="E9" s="48"/>
      <c r="F9" s="47"/>
      <c r="G9" s="48"/>
    </row>
    <row r="10" spans="1:7" ht="13.8" thickBot="1" x14ac:dyDescent="0.3">
      <c r="A10" s="428" t="s">
        <v>17</v>
      </c>
      <c r="B10" s="429"/>
      <c r="C10" s="429"/>
      <c r="D10" s="429"/>
      <c r="E10" s="429"/>
      <c r="F10" s="429"/>
      <c r="G10" s="430"/>
    </row>
    <row r="11" spans="1:7" ht="13.8" thickBot="1" x14ac:dyDescent="0.3">
      <c r="A11" s="306" t="s">
        <v>18</v>
      </c>
      <c r="B11" s="307" t="s">
        <v>19</v>
      </c>
      <c r="C11" s="307" t="s">
        <v>3</v>
      </c>
      <c r="D11" s="308" t="s">
        <v>4</v>
      </c>
      <c r="E11" s="309" t="s">
        <v>20</v>
      </c>
      <c r="F11" s="308" t="s">
        <v>21</v>
      </c>
      <c r="G11" s="310" t="s">
        <v>22</v>
      </c>
    </row>
    <row r="12" spans="1:7" x14ac:dyDescent="0.25">
      <c r="A12" s="311" t="s">
        <v>79</v>
      </c>
      <c r="B12" s="49" t="s">
        <v>80</v>
      </c>
      <c r="C12" s="50" t="s">
        <v>81</v>
      </c>
      <c r="D12" s="51" t="s">
        <v>106</v>
      </c>
      <c r="E12" s="52"/>
      <c r="F12" s="51"/>
      <c r="G12" s="312">
        <f>0.05*G29</f>
        <v>3.4499999999999996E-2</v>
      </c>
    </row>
    <row r="13" spans="1:7" ht="13.8" thickBot="1" x14ac:dyDescent="0.3">
      <c r="A13" s="431" t="s">
        <v>23</v>
      </c>
      <c r="B13" s="432"/>
      <c r="C13" s="432"/>
      <c r="D13" s="432"/>
      <c r="E13" s="432"/>
      <c r="F13" s="432"/>
      <c r="G13" s="313">
        <f>SUM(G12)</f>
        <v>3.4499999999999996E-2</v>
      </c>
    </row>
    <row r="14" spans="1:7" ht="13.8" thickBot="1" x14ac:dyDescent="0.3">
      <c r="A14" s="45"/>
      <c r="B14" s="46"/>
      <c r="C14" s="45"/>
      <c r="D14" s="47"/>
      <c r="E14" s="48"/>
      <c r="F14" s="47"/>
      <c r="G14" s="48"/>
    </row>
    <row r="15" spans="1:7" ht="13.8" thickBot="1" x14ac:dyDescent="0.3">
      <c r="A15" s="428" t="s">
        <v>24</v>
      </c>
      <c r="B15" s="429"/>
      <c r="C15" s="429"/>
      <c r="D15" s="429"/>
      <c r="E15" s="429"/>
      <c r="F15" s="429"/>
      <c r="G15" s="430"/>
    </row>
    <row r="16" spans="1:7" ht="13.8" thickBot="1" x14ac:dyDescent="0.3">
      <c r="A16" s="306" t="s">
        <v>18</v>
      </c>
      <c r="B16" s="307" t="s">
        <v>19</v>
      </c>
      <c r="C16" s="307" t="s">
        <v>3</v>
      </c>
      <c r="D16" s="308" t="s">
        <v>4</v>
      </c>
      <c r="E16" s="309" t="s">
        <v>20</v>
      </c>
      <c r="F16" s="314"/>
      <c r="G16" s="310" t="s">
        <v>22</v>
      </c>
    </row>
    <row r="17" spans="1:7" x14ac:dyDescent="0.25">
      <c r="A17" s="315" t="s">
        <v>183</v>
      </c>
      <c r="B17" s="316" t="s">
        <v>184</v>
      </c>
      <c r="C17" s="317" t="s">
        <v>129</v>
      </c>
      <c r="D17" s="318">
        <v>1</v>
      </c>
      <c r="E17" s="319">
        <v>0.88</v>
      </c>
      <c r="F17" s="320"/>
      <c r="G17" s="321">
        <f>ROUND(D17*E17,2)</f>
        <v>0.88</v>
      </c>
    </row>
    <row r="18" spans="1:7" ht="13.8" thickBot="1" x14ac:dyDescent="0.3">
      <c r="A18" s="431" t="s">
        <v>25</v>
      </c>
      <c r="B18" s="432"/>
      <c r="C18" s="432"/>
      <c r="D18" s="432"/>
      <c r="E18" s="432"/>
      <c r="F18" s="432"/>
      <c r="G18" s="313">
        <f>SUM(G17)</f>
        <v>0.88</v>
      </c>
    </row>
    <row r="19" spans="1:7" ht="13.8" thickBot="1" x14ac:dyDescent="0.3">
      <c r="A19" s="45"/>
      <c r="B19" s="46"/>
      <c r="C19" s="45"/>
      <c r="D19" s="47"/>
      <c r="E19" s="48"/>
      <c r="F19" s="47"/>
      <c r="G19" s="48"/>
    </row>
    <row r="20" spans="1:7" ht="13.8" thickBot="1" x14ac:dyDescent="0.3">
      <c r="A20" s="428" t="s">
        <v>26</v>
      </c>
      <c r="B20" s="429"/>
      <c r="C20" s="429"/>
      <c r="D20" s="429"/>
      <c r="E20" s="429"/>
      <c r="F20" s="429"/>
      <c r="G20" s="430"/>
    </row>
    <row r="21" spans="1:7" ht="13.8" thickBot="1" x14ac:dyDescent="0.3">
      <c r="A21" s="306" t="s">
        <v>18</v>
      </c>
      <c r="B21" s="307" t="s">
        <v>19</v>
      </c>
      <c r="C21" s="307" t="s">
        <v>3</v>
      </c>
      <c r="D21" s="307" t="s">
        <v>4</v>
      </c>
      <c r="E21" s="307" t="s">
        <v>27</v>
      </c>
      <c r="F21" s="307" t="s">
        <v>28</v>
      </c>
      <c r="G21" s="322" t="s">
        <v>22</v>
      </c>
    </row>
    <row r="22" spans="1:7" ht="13.8" thickBot="1" x14ac:dyDescent="0.3">
      <c r="A22" s="323"/>
      <c r="B22" s="53"/>
      <c r="C22" s="54"/>
      <c r="D22" s="55"/>
      <c r="E22" s="56"/>
      <c r="F22" s="57"/>
      <c r="G22" s="324"/>
    </row>
    <row r="23" spans="1:7" ht="13.8" thickBot="1" x14ac:dyDescent="0.3">
      <c r="A23" s="426" t="s">
        <v>29</v>
      </c>
      <c r="B23" s="427"/>
      <c r="C23" s="427"/>
      <c r="D23" s="427"/>
      <c r="E23" s="427"/>
      <c r="F23" s="427"/>
      <c r="G23" s="313">
        <v>0</v>
      </c>
    </row>
    <row r="24" spans="1:7" ht="13.8" thickBot="1" x14ac:dyDescent="0.3">
      <c r="A24" s="45"/>
      <c r="B24" s="46"/>
      <c r="C24" s="45"/>
      <c r="D24" s="47"/>
      <c r="E24" s="48"/>
      <c r="F24" s="47"/>
      <c r="G24" s="48"/>
    </row>
    <row r="25" spans="1:7" ht="13.8" thickBot="1" x14ac:dyDescent="0.3">
      <c r="A25" s="428" t="s">
        <v>30</v>
      </c>
      <c r="B25" s="429"/>
      <c r="C25" s="429"/>
      <c r="D25" s="429"/>
      <c r="E25" s="429"/>
      <c r="F25" s="429"/>
      <c r="G25" s="430"/>
    </row>
    <row r="26" spans="1:7" ht="13.8" thickBot="1" x14ac:dyDescent="0.3">
      <c r="A26" s="306" t="s">
        <v>18</v>
      </c>
      <c r="B26" s="307" t="s">
        <v>19</v>
      </c>
      <c r="C26" s="307"/>
      <c r="D26" s="307" t="s">
        <v>31</v>
      </c>
      <c r="E26" s="307" t="s">
        <v>32</v>
      </c>
      <c r="F26" s="307" t="s">
        <v>21</v>
      </c>
      <c r="G26" s="322" t="s">
        <v>22</v>
      </c>
    </row>
    <row r="27" spans="1:7" x14ac:dyDescent="0.25">
      <c r="A27" s="315" t="s">
        <v>74</v>
      </c>
      <c r="B27" s="316" t="s">
        <v>75</v>
      </c>
      <c r="C27" s="325"/>
      <c r="D27" s="318">
        <v>1</v>
      </c>
      <c r="E27" s="319">
        <v>3.41</v>
      </c>
      <c r="F27" s="318">
        <v>0.1</v>
      </c>
      <c r="G27" s="321">
        <f>ROUND(D27*E27*F27,2)</f>
        <v>0.34</v>
      </c>
    </row>
    <row r="28" spans="1:7" x14ac:dyDescent="0.25">
      <c r="A28" s="323" t="s">
        <v>76</v>
      </c>
      <c r="B28" s="53" t="s">
        <v>77</v>
      </c>
      <c r="C28" s="72"/>
      <c r="D28" s="55">
        <v>1</v>
      </c>
      <c r="E28" s="56">
        <v>3.45</v>
      </c>
      <c r="F28" s="55">
        <v>0.1</v>
      </c>
      <c r="G28" s="324">
        <f>ROUND(D28*E28*F28,2)</f>
        <v>0.35</v>
      </c>
    </row>
    <row r="29" spans="1:7" ht="13.8" thickBot="1" x14ac:dyDescent="0.3">
      <c r="A29" s="431" t="s">
        <v>33</v>
      </c>
      <c r="B29" s="432"/>
      <c r="C29" s="432"/>
      <c r="D29" s="432"/>
      <c r="E29" s="432"/>
      <c r="F29" s="432"/>
      <c r="G29" s="313">
        <f>SUM(G27:G28)</f>
        <v>0.69</v>
      </c>
    </row>
    <row r="30" spans="1:7" x14ac:dyDescent="0.25">
      <c r="A30" s="45"/>
      <c r="B30" s="46"/>
      <c r="C30" s="45"/>
      <c r="D30" s="47"/>
      <c r="E30" s="48"/>
      <c r="F30" s="47"/>
      <c r="G30" s="48"/>
    </row>
    <row r="31" spans="1:7" x14ac:dyDescent="0.25">
      <c r="A31" s="383" t="s">
        <v>34</v>
      </c>
      <c r="B31" s="384"/>
      <c r="C31" s="384"/>
      <c r="D31" s="384"/>
      <c r="E31" s="384"/>
      <c r="F31" s="384"/>
      <c r="G31" s="58">
        <f>+G13+G18+G23+G29</f>
        <v>1.6044999999999998</v>
      </c>
    </row>
    <row r="32" spans="1:7" ht="13.8" thickBot="1" x14ac:dyDescent="0.3">
      <c r="A32" s="300"/>
      <c r="B32" s="301"/>
      <c r="C32" s="301"/>
      <c r="D32" s="301"/>
      <c r="E32" s="301"/>
      <c r="F32" s="301"/>
      <c r="G32" s="58"/>
    </row>
    <row r="33" spans="1:7" ht="13.8" thickBot="1" x14ac:dyDescent="0.3">
      <c r="A33" s="428" t="s">
        <v>35</v>
      </c>
      <c r="B33" s="429"/>
      <c r="C33" s="429"/>
      <c r="D33" s="429"/>
      <c r="E33" s="429"/>
      <c r="F33" s="429"/>
      <c r="G33" s="430"/>
    </row>
    <row r="34" spans="1:7" x14ac:dyDescent="0.25">
      <c r="A34" s="433" t="s">
        <v>78</v>
      </c>
      <c r="B34" s="434"/>
      <c r="C34" s="434"/>
      <c r="D34" s="434"/>
      <c r="E34" s="434"/>
      <c r="F34" s="434"/>
      <c r="G34" s="58">
        <f>0.21*G31</f>
        <v>0.33694499999999994</v>
      </c>
    </row>
    <row r="35" spans="1:7" ht="13.8" thickBot="1" x14ac:dyDescent="0.3">
      <c r="A35" s="45"/>
      <c r="B35" s="46"/>
      <c r="C35" s="45"/>
      <c r="D35" s="47"/>
      <c r="E35" s="48"/>
      <c r="F35" s="47"/>
      <c r="G35" s="48"/>
    </row>
    <row r="36" spans="1:7" ht="13.8" thickBot="1" x14ac:dyDescent="0.3">
      <c r="A36" s="424" t="s">
        <v>36</v>
      </c>
      <c r="B36" s="425"/>
      <c r="C36" s="425"/>
      <c r="D36" s="425"/>
      <c r="E36" s="425"/>
      <c r="F36" s="425"/>
      <c r="G36" s="326">
        <f>G31+G34</f>
        <v>1.9414449999999999</v>
      </c>
    </row>
  </sheetData>
  <mergeCells count="19"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  <mergeCell ref="A36:F36"/>
    <mergeCell ref="A23:F23"/>
    <mergeCell ref="A25:G25"/>
    <mergeCell ref="A29:F29"/>
    <mergeCell ref="A31:F31"/>
    <mergeCell ref="A33:G33"/>
    <mergeCell ref="A34:F34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13" workbookViewId="0">
      <selection activeCell="G37" sqref="G37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125">
        <v>64</v>
      </c>
      <c r="C3" s="302"/>
      <c r="D3" s="302"/>
      <c r="E3" s="37"/>
      <c r="F3" s="303"/>
      <c r="G3" s="303"/>
    </row>
    <row r="4" spans="1:7" x14ac:dyDescent="0.25">
      <c r="A4" s="37" t="s">
        <v>13</v>
      </c>
      <c r="B4" s="438">
        <v>515279</v>
      </c>
      <c r="C4" s="389"/>
      <c r="D4" s="389"/>
      <c r="E4" s="389"/>
      <c r="F4" s="389"/>
      <c r="G4" s="389"/>
    </row>
    <row r="5" spans="1:7" x14ac:dyDescent="0.25">
      <c r="A5" s="37" t="s">
        <v>14</v>
      </c>
      <c r="B5" s="438" t="s">
        <v>486</v>
      </c>
      <c r="C5" s="389"/>
      <c r="D5" s="389"/>
      <c r="E5" s="389"/>
      <c r="F5" s="389"/>
      <c r="G5" s="389"/>
    </row>
    <row r="6" spans="1:7" x14ac:dyDescent="0.25">
      <c r="A6" s="37" t="s">
        <v>15</v>
      </c>
      <c r="B6" s="438" t="s">
        <v>50</v>
      </c>
      <c r="C6" s="389"/>
      <c r="D6" s="389"/>
      <c r="E6" s="389"/>
      <c r="F6" s="389"/>
      <c r="G6" s="389"/>
    </row>
    <row r="7" spans="1:7" ht="13.8" thickBot="1" x14ac:dyDescent="0.3">
      <c r="A7" s="41"/>
      <c r="B7" s="42"/>
      <c r="C7" s="43"/>
      <c r="D7" s="44"/>
      <c r="E7" s="44"/>
      <c r="F7" s="44"/>
      <c r="G7" s="44"/>
    </row>
    <row r="8" spans="1:7" ht="13.8" thickBot="1" x14ac:dyDescent="0.3">
      <c r="A8" s="428" t="s">
        <v>16</v>
      </c>
      <c r="B8" s="429"/>
      <c r="C8" s="429"/>
      <c r="D8" s="429"/>
      <c r="E8" s="429"/>
      <c r="F8" s="429"/>
      <c r="G8" s="430"/>
    </row>
    <row r="9" spans="1:7" ht="13.8" thickBot="1" x14ac:dyDescent="0.3">
      <c r="A9" s="45"/>
      <c r="B9" s="46"/>
      <c r="C9" s="45"/>
      <c r="D9" s="47"/>
      <c r="E9" s="48"/>
      <c r="F9" s="47"/>
      <c r="G9" s="48"/>
    </row>
    <row r="10" spans="1:7" ht="13.8" thickBot="1" x14ac:dyDescent="0.3">
      <c r="A10" s="428" t="s">
        <v>17</v>
      </c>
      <c r="B10" s="429"/>
      <c r="C10" s="429"/>
      <c r="D10" s="429"/>
      <c r="E10" s="429"/>
      <c r="F10" s="429"/>
      <c r="G10" s="430"/>
    </row>
    <row r="11" spans="1:7" ht="13.8" thickBot="1" x14ac:dyDescent="0.3">
      <c r="A11" s="306" t="s">
        <v>18</v>
      </c>
      <c r="B11" s="307" t="s">
        <v>19</v>
      </c>
      <c r="C11" s="307" t="s">
        <v>3</v>
      </c>
      <c r="D11" s="308" t="s">
        <v>4</v>
      </c>
      <c r="E11" s="309" t="s">
        <v>20</v>
      </c>
      <c r="F11" s="308" t="s">
        <v>21</v>
      </c>
      <c r="G11" s="310" t="s">
        <v>22</v>
      </c>
    </row>
    <row r="12" spans="1:7" x14ac:dyDescent="0.25">
      <c r="A12" s="323"/>
      <c r="B12" s="327"/>
      <c r="C12" s="54"/>
      <c r="D12" s="55"/>
      <c r="E12" s="56"/>
      <c r="F12" s="55"/>
      <c r="G12" s="324"/>
    </row>
    <row r="13" spans="1:7" ht="13.8" thickBot="1" x14ac:dyDescent="0.3">
      <c r="A13" s="431" t="s">
        <v>23</v>
      </c>
      <c r="B13" s="432"/>
      <c r="C13" s="432"/>
      <c r="D13" s="432"/>
      <c r="E13" s="432"/>
      <c r="F13" s="432"/>
      <c r="G13" s="313">
        <v>0</v>
      </c>
    </row>
    <row r="14" spans="1:7" ht="13.8" thickBot="1" x14ac:dyDescent="0.3">
      <c r="A14" s="45"/>
      <c r="B14" s="46"/>
      <c r="C14" s="45"/>
      <c r="D14" s="47"/>
      <c r="E14" s="48"/>
      <c r="F14" s="47"/>
      <c r="G14" s="48"/>
    </row>
    <row r="15" spans="1:7" ht="13.8" thickBot="1" x14ac:dyDescent="0.3">
      <c r="A15" s="428" t="s">
        <v>24</v>
      </c>
      <c r="B15" s="429"/>
      <c r="C15" s="429"/>
      <c r="D15" s="429"/>
      <c r="E15" s="429"/>
      <c r="F15" s="429"/>
      <c r="G15" s="430"/>
    </row>
    <row r="16" spans="1:7" ht="13.8" thickBot="1" x14ac:dyDescent="0.3">
      <c r="A16" s="306" t="s">
        <v>18</v>
      </c>
      <c r="B16" s="307" t="s">
        <v>19</v>
      </c>
      <c r="C16" s="307" t="s">
        <v>3</v>
      </c>
      <c r="D16" s="308" t="s">
        <v>4</v>
      </c>
      <c r="E16" s="309" t="s">
        <v>20</v>
      </c>
      <c r="F16" s="314"/>
      <c r="G16" s="310" t="s">
        <v>22</v>
      </c>
    </row>
    <row r="17" spans="1:7" x14ac:dyDescent="0.25">
      <c r="A17" s="315" t="s">
        <v>487</v>
      </c>
      <c r="B17" s="316" t="s">
        <v>488</v>
      </c>
      <c r="C17" s="317" t="s">
        <v>129</v>
      </c>
      <c r="D17" s="318">
        <v>1</v>
      </c>
      <c r="E17" s="319">
        <v>0.57999999999999996</v>
      </c>
      <c r="F17" s="320"/>
      <c r="G17" s="321">
        <f>D17*E17</f>
        <v>0.57999999999999996</v>
      </c>
    </row>
    <row r="18" spans="1:7" ht="13.8" thickBot="1" x14ac:dyDescent="0.3">
      <c r="A18" s="431" t="s">
        <v>25</v>
      </c>
      <c r="B18" s="432"/>
      <c r="C18" s="432"/>
      <c r="D18" s="432"/>
      <c r="E18" s="432"/>
      <c r="F18" s="432"/>
      <c r="G18" s="313">
        <f>SUM(G17)</f>
        <v>0.57999999999999996</v>
      </c>
    </row>
    <row r="19" spans="1:7" ht="13.8" thickBot="1" x14ac:dyDescent="0.3">
      <c r="A19" s="45"/>
      <c r="B19" s="46"/>
      <c r="C19" s="45"/>
      <c r="D19" s="47"/>
      <c r="E19" s="48"/>
      <c r="F19" s="47"/>
      <c r="G19" s="48"/>
    </row>
    <row r="20" spans="1:7" ht="13.8" thickBot="1" x14ac:dyDescent="0.3">
      <c r="A20" s="428" t="s">
        <v>26</v>
      </c>
      <c r="B20" s="429"/>
      <c r="C20" s="429"/>
      <c r="D20" s="429"/>
      <c r="E20" s="429"/>
      <c r="F20" s="429"/>
      <c r="G20" s="430"/>
    </row>
    <row r="21" spans="1:7" ht="13.8" thickBot="1" x14ac:dyDescent="0.3">
      <c r="A21" s="306" t="s">
        <v>18</v>
      </c>
      <c r="B21" s="307" t="s">
        <v>19</v>
      </c>
      <c r="C21" s="307" t="s">
        <v>3</v>
      </c>
      <c r="D21" s="307" t="s">
        <v>4</v>
      </c>
      <c r="E21" s="307" t="s">
        <v>27</v>
      </c>
      <c r="F21" s="307" t="s">
        <v>28</v>
      </c>
      <c r="G21" s="322" t="s">
        <v>22</v>
      </c>
    </row>
    <row r="22" spans="1:7" ht="13.8" thickBot="1" x14ac:dyDescent="0.3">
      <c r="A22" s="323"/>
      <c r="B22" s="53"/>
      <c r="C22" s="54"/>
      <c r="D22" s="55"/>
      <c r="E22" s="56"/>
      <c r="F22" s="57"/>
      <c r="G22" s="324"/>
    </row>
    <row r="23" spans="1:7" ht="13.8" thickBot="1" x14ac:dyDescent="0.3">
      <c r="A23" s="426" t="s">
        <v>29</v>
      </c>
      <c r="B23" s="427"/>
      <c r="C23" s="427"/>
      <c r="D23" s="427"/>
      <c r="E23" s="427"/>
      <c r="F23" s="427"/>
      <c r="G23" s="313">
        <v>0</v>
      </c>
    </row>
    <row r="24" spans="1:7" ht="13.8" thickBot="1" x14ac:dyDescent="0.3">
      <c r="A24" s="45"/>
      <c r="B24" s="46"/>
      <c r="C24" s="45"/>
      <c r="D24" s="47"/>
      <c r="E24" s="48"/>
      <c r="F24" s="47"/>
      <c r="G24" s="48"/>
    </row>
    <row r="25" spans="1:7" ht="13.8" thickBot="1" x14ac:dyDescent="0.3">
      <c r="A25" s="428" t="s">
        <v>30</v>
      </c>
      <c r="B25" s="429"/>
      <c r="C25" s="429"/>
      <c r="D25" s="429"/>
      <c r="E25" s="429"/>
      <c r="F25" s="429"/>
      <c r="G25" s="430"/>
    </row>
    <row r="26" spans="1:7" ht="13.8" thickBot="1" x14ac:dyDescent="0.3">
      <c r="A26" s="306" t="s">
        <v>18</v>
      </c>
      <c r="B26" s="307" t="s">
        <v>19</v>
      </c>
      <c r="C26" s="307"/>
      <c r="D26" s="307" t="s">
        <v>31</v>
      </c>
      <c r="E26" s="307" t="s">
        <v>32</v>
      </c>
      <c r="F26" s="307" t="s">
        <v>21</v>
      </c>
      <c r="G26" s="322" t="s">
        <v>22</v>
      </c>
    </row>
    <row r="27" spans="1:7" x14ac:dyDescent="0.25">
      <c r="A27" s="315" t="s">
        <v>74</v>
      </c>
      <c r="B27" s="316" t="s">
        <v>75</v>
      </c>
      <c r="C27" s="325"/>
      <c r="D27" s="318">
        <v>1</v>
      </c>
      <c r="E27" s="319">
        <v>3.41</v>
      </c>
      <c r="F27" s="318">
        <v>0.05</v>
      </c>
      <c r="G27" s="321">
        <f>ROUND(D27*E27*F27,2)</f>
        <v>0.17</v>
      </c>
    </row>
    <row r="28" spans="1:7" x14ac:dyDescent="0.25">
      <c r="A28" s="323" t="s">
        <v>76</v>
      </c>
      <c r="B28" s="53" t="s">
        <v>77</v>
      </c>
      <c r="C28" s="72"/>
      <c r="D28" s="55">
        <v>1</v>
      </c>
      <c r="E28" s="56">
        <v>3.45</v>
      </c>
      <c r="F28" s="55">
        <v>0.05</v>
      </c>
      <c r="G28" s="324">
        <f>ROUND(D28*E28*F28,2)</f>
        <v>0.17</v>
      </c>
    </row>
    <row r="29" spans="1:7" ht="13.8" thickBot="1" x14ac:dyDescent="0.3">
      <c r="A29" s="431" t="s">
        <v>33</v>
      </c>
      <c r="B29" s="432"/>
      <c r="C29" s="432"/>
      <c r="D29" s="432"/>
      <c r="E29" s="432"/>
      <c r="F29" s="432"/>
      <c r="G29" s="313">
        <f>SUM(G27:G28)</f>
        <v>0.34</v>
      </c>
    </row>
    <row r="30" spans="1:7" x14ac:dyDescent="0.25">
      <c r="A30" s="45"/>
      <c r="B30" s="46"/>
      <c r="C30" s="45"/>
      <c r="D30" s="47"/>
      <c r="E30" s="48"/>
      <c r="F30" s="47"/>
      <c r="G30" s="48"/>
    </row>
    <row r="31" spans="1:7" x14ac:dyDescent="0.25">
      <c r="A31" s="383" t="s">
        <v>34</v>
      </c>
      <c r="B31" s="384"/>
      <c r="C31" s="384"/>
      <c r="D31" s="384"/>
      <c r="E31" s="384"/>
      <c r="F31" s="384"/>
      <c r="G31" s="58">
        <f>G13+G18+G23+G29</f>
        <v>0.91999999999999993</v>
      </c>
    </row>
    <row r="32" spans="1:7" ht="13.8" thickBot="1" x14ac:dyDescent="0.3">
      <c r="A32" s="300"/>
      <c r="B32" s="301"/>
      <c r="C32" s="301"/>
      <c r="D32" s="301"/>
      <c r="E32" s="301"/>
      <c r="F32" s="301"/>
      <c r="G32" s="58"/>
    </row>
    <row r="33" spans="1:7" ht="13.8" thickBot="1" x14ac:dyDescent="0.3">
      <c r="A33" s="428" t="s">
        <v>35</v>
      </c>
      <c r="B33" s="429"/>
      <c r="C33" s="429"/>
      <c r="D33" s="429"/>
      <c r="E33" s="429"/>
      <c r="F33" s="429"/>
      <c r="G33" s="430"/>
    </row>
    <row r="34" spans="1:7" x14ac:dyDescent="0.25">
      <c r="A34" s="433" t="s">
        <v>78</v>
      </c>
      <c r="B34" s="434"/>
      <c r="C34" s="434"/>
      <c r="D34" s="434"/>
      <c r="E34" s="434"/>
      <c r="F34" s="434"/>
      <c r="G34" s="58">
        <f>0.21*G31</f>
        <v>0.19319999999999998</v>
      </c>
    </row>
    <row r="35" spans="1:7" ht="13.8" thickBot="1" x14ac:dyDescent="0.3">
      <c r="A35" s="45"/>
      <c r="B35" s="46"/>
      <c r="C35" s="45"/>
      <c r="D35" s="47"/>
      <c r="E35" s="48"/>
      <c r="F35" s="47"/>
      <c r="G35" s="48"/>
    </row>
    <row r="36" spans="1:7" ht="13.8" thickBot="1" x14ac:dyDescent="0.3">
      <c r="A36" s="424" t="s">
        <v>36</v>
      </c>
      <c r="B36" s="425"/>
      <c r="C36" s="425"/>
      <c r="D36" s="425"/>
      <c r="E36" s="425"/>
      <c r="F36" s="425"/>
      <c r="G36" s="326">
        <f>G31+G34</f>
        <v>1.1132</v>
      </c>
    </row>
  </sheetData>
  <mergeCells count="19"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  <mergeCell ref="A36:F36"/>
    <mergeCell ref="A23:F23"/>
    <mergeCell ref="A25:G25"/>
    <mergeCell ref="A29:F29"/>
    <mergeCell ref="A31:F31"/>
    <mergeCell ref="A33:G33"/>
    <mergeCell ref="A34:F34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17" workbookViewId="0">
      <selection activeCell="G43" sqref="G43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297" t="s">
        <v>12</v>
      </c>
      <c r="B3" s="304">
        <f>Presupuesto!B59</f>
        <v>52</v>
      </c>
      <c r="C3" s="305"/>
      <c r="D3" s="305"/>
      <c r="E3" s="297"/>
      <c r="F3" s="305"/>
      <c r="G3" s="305"/>
    </row>
    <row r="4" spans="1:7" x14ac:dyDescent="0.25">
      <c r="A4" s="297" t="s">
        <v>13</v>
      </c>
      <c r="B4" s="435" t="str">
        <f>Presupuesto!C59</f>
        <v>500098</v>
      </c>
      <c r="C4" s="415"/>
      <c r="D4" s="415"/>
      <c r="E4" s="415"/>
      <c r="F4" s="415"/>
      <c r="G4" s="415"/>
    </row>
    <row r="5" spans="1:7" x14ac:dyDescent="0.25">
      <c r="A5" s="297" t="s">
        <v>14</v>
      </c>
      <c r="B5" s="435" t="str">
        <f>Presupuesto!D59</f>
        <v>Relleno compactado a máquina con material de excavación</v>
      </c>
      <c r="C5" s="415"/>
      <c r="D5" s="415"/>
      <c r="E5" s="415"/>
      <c r="F5" s="415"/>
      <c r="G5" s="415"/>
    </row>
    <row r="6" spans="1:7" x14ac:dyDescent="0.25">
      <c r="A6" s="297" t="s">
        <v>15</v>
      </c>
      <c r="B6" s="435" t="str">
        <f>Presupuesto!E59</f>
        <v>m3</v>
      </c>
      <c r="C6" s="415"/>
      <c r="D6" s="415"/>
      <c r="E6" s="415"/>
      <c r="F6" s="415"/>
      <c r="G6" s="415"/>
    </row>
    <row r="7" spans="1:7" x14ac:dyDescent="0.25">
      <c r="A7" s="328"/>
      <c r="B7" s="329"/>
      <c r="C7" s="330"/>
      <c r="D7" s="331"/>
      <c r="E7" s="331"/>
      <c r="F7" s="331"/>
      <c r="G7" s="331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 t="s">
        <v>228</v>
      </c>
      <c r="B12" s="49" t="s">
        <v>494</v>
      </c>
      <c r="C12" s="50" t="s">
        <v>496</v>
      </c>
      <c r="D12" s="51">
        <v>1</v>
      </c>
      <c r="E12" s="52">
        <v>35.729999999999997</v>
      </c>
      <c r="F12" s="51">
        <v>5.0000000000000001E-3</v>
      </c>
      <c r="G12" s="52">
        <f>ROUND(D12*E12*F12,2)</f>
        <v>0.18</v>
      </c>
    </row>
    <row r="13" spans="1:7" x14ac:dyDescent="0.25">
      <c r="A13" s="50" t="s">
        <v>228</v>
      </c>
      <c r="B13" s="49" t="s">
        <v>84</v>
      </c>
      <c r="C13" s="50" t="s">
        <v>496</v>
      </c>
      <c r="D13" s="51">
        <v>1</v>
      </c>
      <c r="E13" s="52">
        <v>48</v>
      </c>
      <c r="F13" s="51">
        <v>5.0000000000000001E-3</v>
      </c>
      <c r="G13" s="52">
        <f t="shared" ref="G13:G16" si="0">ROUND(D13*E13*F13,2)</f>
        <v>0.24</v>
      </c>
    </row>
    <row r="14" spans="1:7" x14ac:dyDescent="0.25">
      <c r="A14" s="50" t="s">
        <v>228</v>
      </c>
      <c r="B14" s="49" t="s">
        <v>87</v>
      </c>
      <c r="C14" s="50" t="s">
        <v>496</v>
      </c>
      <c r="D14" s="51">
        <v>1</v>
      </c>
      <c r="E14" s="52">
        <v>30.21</v>
      </c>
      <c r="F14" s="51">
        <v>5.0000000000000001E-3</v>
      </c>
      <c r="G14" s="52">
        <f t="shared" si="0"/>
        <v>0.15</v>
      </c>
    </row>
    <row r="15" spans="1:7" x14ac:dyDescent="0.25">
      <c r="A15" s="50" t="s">
        <v>228</v>
      </c>
      <c r="B15" s="49" t="s">
        <v>495</v>
      </c>
      <c r="C15" s="50" t="s">
        <v>496</v>
      </c>
      <c r="D15" s="51">
        <v>3</v>
      </c>
      <c r="E15" s="52">
        <v>17.13</v>
      </c>
      <c r="F15" s="51">
        <v>5.0000000000000001E-3</v>
      </c>
      <c r="G15" s="52">
        <f t="shared" si="0"/>
        <v>0.26</v>
      </c>
    </row>
    <row r="16" spans="1:7" x14ac:dyDescent="0.25">
      <c r="A16" s="50" t="s">
        <v>228</v>
      </c>
      <c r="B16" s="49" t="s">
        <v>89</v>
      </c>
      <c r="C16" s="50" t="s">
        <v>496</v>
      </c>
      <c r="D16" s="51">
        <v>1</v>
      </c>
      <c r="E16" s="52">
        <v>15.9</v>
      </c>
      <c r="F16" s="51">
        <v>5.0000000000000001E-3</v>
      </c>
      <c r="G16" s="52">
        <f t="shared" si="0"/>
        <v>0.08</v>
      </c>
    </row>
    <row r="17" spans="1:7" x14ac:dyDescent="0.25">
      <c r="A17" s="378" t="s">
        <v>23</v>
      </c>
      <c r="B17" s="378"/>
      <c r="C17" s="378"/>
      <c r="D17" s="378"/>
      <c r="E17" s="378"/>
      <c r="F17" s="378"/>
      <c r="G17" s="56">
        <f>SUM(G12:G16)</f>
        <v>0.90999999999999992</v>
      </c>
    </row>
    <row r="18" spans="1:7" x14ac:dyDescent="0.25">
      <c r="A18" s="45"/>
      <c r="B18" s="46"/>
      <c r="C18" s="45"/>
      <c r="D18" s="47"/>
      <c r="E18" s="48"/>
      <c r="F18" s="47"/>
      <c r="G18" s="48"/>
    </row>
    <row r="19" spans="1:7" x14ac:dyDescent="0.25">
      <c r="A19" s="380" t="s">
        <v>24</v>
      </c>
      <c r="B19" s="381"/>
      <c r="C19" s="381"/>
      <c r="D19" s="381"/>
      <c r="E19" s="381"/>
      <c r="F19" s="381"/>
      <c r="G19" s="382"/>
    </row>
    <row r="20" spans="1:7" x14ac:dyDescent="0.25">
      <c r="A20" s="72" t="s">
        <v>18</v>
      </c>
      <c r="B20" s="72" t="s">
        <v>19</v>
      </c>
      <c r="C20" s="72" t="s">
        <v>3</v>
      </c>
      <c r="D20" s="233" t="s">
        <v>4</v>
      </c>
      <c r="E20" s="159" t="s">
        <v>20</v>
      </c>
      <c r="F20" s="57"/>
      <c r="G20" s="159" t="s">
        <v>22</v>
      </c>
    </row>
    <row r="21" spans="1:7" x14ac:dyDescent="0.25">
      <c r="A21" s="50" t="s">
        <v>228</v>
      </c>
      <c r="B21" s="164" t="s">
        <v>411</v>
      </c>
      <c r="C21" s="50" t="s">
        <v>121</v>
      </c>
      <c r="D21" s="51">
        <v>20</v>
      </c>
      <c r="E21" s="52">
        <v>1.0300000000000001E-3</v>
      </c>
      <c r="F21" s="234"/>
      <c r="G21" s="52">
        <f>ROUND(D21*E21,2)</f>
        <v>0.02</v>
      </c>
    </row>
    <row r="22" spans="1:7" x14ac:dyDescent="0.25">
      <c r="A22" s="378" t="s">
        <v>25</v>
      </c>
      <c r="B22" s="378"/>
      <c r="C22" s="378"/>
      <c r="D22" s="378"/>
      <c r="E22" s="378"/>
      <c r="F22" s="378"/>
      <c r="G22" s="56">
        <f>G21</f>
        <v>0.02</v>
      </c>
    </row>
    <row r="23" spans="1:7" x14ac:dyDescent="0.25">
      <c r="A23" s="45"/>
      <c r="B23" s="46"/>
      <c r="C23" s="45"/>
      <c r="D23" s="47"/>
      <c r="E23" s="48"/>
      <c r="F23" s="47"/>
      <c r="G23" s="48"/>
    </row>
    <row r="24" spans="1:7" x14ac:dyDescent="0.25">
      <c r="A24" s="380" t="s">
        <v>26</v>
      </c>
      <c r="B24" s="381"/>
      <c r="C24" s="381"/>
      <c r="D24" s="381"/>
      <c r="E24" s="381"/>
      <c r="F24" s="381"/>
      <c r="G24" s="382"/>
    </row>
    <row r="25" spans="1:7" x14ac:dyDescent="0.25">
      <c r="A25" s="72" t="s">
        <v>18</v>
      </c>
      <c r="B25" s="72" t="s">
        <v>19</v>
      </c>
      <c r="C25" s="72" t="s">
        <v>3</v>
      </c>
      <c r="D25" s="72" t="s">
        <v>4</v>
      </c>
      <c r="E25" s="72" t="s">
        <v>27</v>
      </c>
      <c r="F25" s="72" t="s">
        <v>28</v>
      </c>
      <c r="G25" s="72" t="s">
        <v>22</v>
      </c>
    </row>
    <row r="26" spans="1:7" x14ac:dyDescent="0.25">
      <c r="A26" s="160"/>
      <c r="B26" s="161"/>
      <c r="C26" s="160"/>
      <c r="D26" s="162"/>
      <c r="E26" s="163"/>
      <c r="F26" s="131"/>
      <c r="G26" s="52"/>
    </row>
    <row r="27" spans="1:7" x14ac:dyDescent="0.25">
      <c r="A27" s="378" t="s">
        <v>29</v>
      </c>
      <c r="B27" s="379"/>
      <c r="C27" s="379"/>
      <c r="D27" s="379"/>
      <c r="E27" s="379"/>
      <c r="F27" s="379"/>
      <c r="G27" s="56">
        <v>0</v>
      </c>
    </row>
    <row r="28" spans="1:7" x14ac:dyDescent="0.25">
      <c r="A28" s="45"/>
      <c r="B28" s="46"/>
      <c r="C28" s="45"/>
      <c r="D28" s="47"/>
      <c r="E28" s="48"/>
      <c r="F28" s="47"/>
      <c r="G28" s="48"/>
    </row>
    <row r="29" spans="1:7" x14ac:dyDescent="0.25">
      <c r="A29" s="380" t="s">
        <v>30</v>
      </c>
      <c r="B29" s="381"/>
      <c r="C29" s="381"/>
      <c r="D29" s="381"/>
      <c r="E29" s="381"/>
      <c r="F29" s="381"/>
      <c r="G29" s="382"/>
    </row>
    <row r="30" spans="1:7" x14ac:dyDescent="0.25">
      <c r="A30" s="72" t="s">
        <v>18</v>
      </c>
      <c r="B30" s="72" t="s">
        <v>19</v>
      </c>
      <c r="C30" s="72"/>
      <c r="D30" s="72" t="s">
        <v>31</v>
      </c>
      <c r="E30" s="72" t="s">
        <v>32</v>
      </c>
      <c r="F30" s="72" t="s">
        <v>21</v>
      </c>
      <c r="G30" s="72" t="s">
        <v>22</v>
      </c>
    </row>
    <row r="31" spans="1:7" ht="21" x14ac:dyDescent="0.25">
      <c r="A31" s="165"/>
      <c r="B31" s="245" t="s">
        <v>498</v>
      </c>
      <c r="C31" s="165"/>
      <c r="D31" s="332">
        <v>4</v>
      </c>
      <c r="E31" s="52" t="s">
        <v>501</v>
      </c>
      <c r="F31" s="51" t="s">
        <v>504</v>
      </c>
      <c r="G31" s="52">
        <f>ROUND(D31*E31*F31,2)</f>
        <v>0.1</v>
      </c>
    </row>
    <row r="32" spans="1:7" x14ac:dyDescent="0.25">
      <c r="A32" s="165"/>
      <c r="B32" s="245" t="s">
        <v>499</v>
      </c>
      <c r="C32" s="165"/>
      <c r="D32" s="332">
        <v>2</v>
      </c>
      <c r="E32" s="52" t="s">
        <v>502</v>
      </c>
      <c r="F32" s="51" t="s">
        <v>505</v>
      </c>
      <c r="G32" s="52">
        <f t="shared" ref="G32:G34" si="1">ROUND(D32*E32*F32,2)</f>
        <v>0.04</v>
      </c>
    </row>
    <row r="33" spans="1:7" x14ac:dyDescent="0.25">
      <c r="A33" s="165"/>
      <c r="B33" s="245" t="s">
        <v>500</v>
      </c>
      <c r="C33" s="165"/>
      <c r="D33" s="332">
        <v>1</v>
      </c>
      <c r="E33" s="52" t="s">
        <v>503</v>
      </c>
      <c r="F33" s="51" t="s">
        <v>506</v>
      </c>
      <c r="G33" s="52">
        <f t="shared" si="1"/>
        <v>0.02</v>
      </c>
    </row>
    <row r="34" spans="1:7" ht="21" x14ac:dyDescent="0.25">
      <c r="A34" s="50"/>
      <c r="B34" s="245" t="s">
        <v>497</v>
      </c>
      <c r="C34" s="165"/>
      <c r="D34" s="332">
        <v>2</v>
      </c>
      <c r="E34" s="52">
        <v>3.5</v>
      </c>
      <c r="F34" s="51" t="s">
        <v>507</v>
      </c>
      <c r="G34" s="52">
        <f t="shared" si="1"/>
        <v>0.04</v>
      </c>
    </row>
    <row r="35" spans="1:7" x14ac:dyDescent="0.25">
      <c r="A35" s="378" t="s">
        <v>33</v>
      </c>
      <c r="B35" s="378"/>
      <c r="C35" s="378"/>
      <c r="D35" s="378"/>
      <c r="E35" s="378"/>
      <c r="F35" s="378"/>
      <c r="G35" s="56">
        <f>SUM(G31:G34)</f>
        <v>0.2</v>
      </c>
    </row>
    <row r="36" spans="1:7" x14ac:dyDescent="0.25">
      <c r="A36" s="45"/>
      <c r="B36" s="46"/>
      <c r="C36" s="45"/>
      <c r="D36" s="47"/>
      <c r="E36" s="48"/>
      <c r="F36" s="47"/>
      <c r="G36" s="48"/>
    </row>
    <row r="37" spans="1:7" x14ac:dyDescent="0.25">
      <c r="A37" s="383" t="s">
        <v>34</v>
      </c>
      <c r="B37" s="384"/>
      <c r="C37" s="384"/>
      <c r="D37" s="384"/>
      <c r="E37" s="384"/>
      <c r="F37" s="384"/>
      <c r="G37" s="58">
        <f>+G35+G27+G22+G17</f>
        <v>1.1299999999999999</v>
      </c>
    </row>
    <row r="38" spans="1:7" x14ac:dyDescent="0.25">
      <c r="A38" s="300"/>
      <c r="B38" s="301"/>
      <c r="C38" s="301"/>
      <c r="D38" s="301"/>
      <c r="E38" s="301"/>
      <c r="F38" s="301"/>
      <c r="G38" s="58"/>
    </row>
    <row r="39" spans="1:7" x14ac:dyDescent="0.25">
      <c r="A39" s="385" t="s">
        <v>35</v>
      </c>
      <c r="B39" s="386"/>
      <c r="C39" s="386"/>
      <c r="D39" s="386"/>
      <c r="E39" s="386"/>
      <c r="F39" s="386"/>
      <c r="G39" s="387"/>
    </row>
    <row r="40" spans="1:7" x14ac:dyDescent="0.25">
      <c r="A40" s="383" t="s">
        <v>78</v>
      </c>
      <c r="B40" s="384"/>
      <c r="C40" s="384"/>
      <c r="D40" s="384"/>
      <c r="E40" s="384"/>
      <c r="F40" s="384"/>
      <c r="G40" s="58">
        <f>ROUND(G37*0.21,2)</f>
        <v>0.24</v>
      </c>
    </row>
    <row r="41" spans="1:7" x14ac:dyDescent="0.25">
      <c r="A41" s="45"/>
      <c r="B41" s="46"/>
      <c r="C41" s="45"/>
      <c r="D41" s="47"/>
      <c r="E41" s="48"/>
      <c r="F41" s="47"/>
      <c r="G41" s="48"/>
    </row>
    <row r="42" spans="1:7" x14ac:dyDescent="0.25">
      <c r="A42" s="376" t="s">
        <v>36</v>
      </c>
      <c r="B42" s="377"/>
      <c r="C42" s="377"/>
      <c r="D42" s="377"/>
      <c r="E42" s="377"/>
      <c r="F42" s="377"/>
      <c r="G42" s="166">
        <f>G37+G40</f>
        <v>1.3699999999999999</v>
      </c>
    </row>
  </sheetData>
  <mergeCells count="19">
    <mergeCell ref="A24:G24"/>
    <mergeCell ref="A1:F1"/>
    <mergeCell ref="B2:D2"/>
    <mergeCell ref="F2:G2"/>
    <mergeCell ref="B4:G4"/>
    <mergeCell ref="B5:G5"/>
    <mergeCell ref="B6:G6"/>
    <mergeCell ref="A8:G8"/>
    <mergeCell ref="A10:G10"/>
    <mergeCell ref="A17:F17"/>
    <mergeCell ref="A19:G19"/>
    <mergeCell ref="A22:F22"/>
    <mergeCell ref="A42:F42"/>
    <mergeCell ref="A27:F27"/>
    <mergeCell ref="A29:G29"/>
    <mergeCell ref="A35:F35"/>
    <mergeCell ref="A37:F37"/>
    <mergeCell ref="A39:G39"/>
    <mergeCell ref="A40:F40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G38" sqref="G38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297" t="s">
        <v>12</v>
      </c>
      <c r="B3" s="304">
        <f>Presupuesto!B60</f>
        <v>53</v>
      </c>
      <c r="C3" s="305"/>
      <c r="D3" s="305"/>
      <c r="E3" s="297"/>
      <c r="F3" s="305"/>
      <c r="G3" s="305"/>
    </row>
    <row r="4" spans="1:7" x14ac:dyDescent="0.25">
      <c r="A4" s="297" t="s">
        <v>13</v>
      </c>
      <c r="B4" s="435" t="str">
        <f>Presupuesto!C60</f>
        <v>515210</v>
      </c>
      <c r="C4" s="415"/>
      <c r="D4" s="415"/>
      <c r="E4" s="415"/>
      <c r="F4" s="415"/>
      <c r="G4" s="415"/>
    </row>
    <row r="5" spans="1:7" x14ac:dyDescent="0.25">
      <c r="A5" s="297" t="s">
        <v>14</v>
      </c>
      <c r="B5" s="435" t="str">
        <f>Presupuesto!D60</f>
        <v>Tablero de distribución de 12 tacos G.E.</v>
      </c>
      <c r="C5" s="415"/>
      <c r="D5" s="415"/>
      <c r="E5" s="415"/>
      <c r="F5" s="415"/>
      <c r="G5" s="415"/>
    </row>
    <row r="6" spans="1:7" x14ac:dyDescent="0.25">
      <c r="A6" s="297" t="s">
        <v>15</v>
      </c>
      <c r="B6" s="435" t="str">
        <f>Presupuesto!E60</f>
        <v>u</v>
      </c>
      <c r="C6" s="415"/>
      <c r="D6" s="415"/>
      <c r="E6" s="415"/>
      <c r="F6" s="415"/>
      <c r="G6" s="415"/>
    </row>
    <row r="7" spans="1:7" ht="13.8" thickBot="1" x14ac:dyDescent="0.3">
      <c r="A7" s="41"/>
      <c r="B7" s="42"/>
      <c r="C7" s="43"/>
      <c r="D7" s="44"/>
      <c r="E7" s="44"/>
      <c r="F7" s="44"/>
      <c r="G7" s="44"/>
    </row>
    <row r="8" spans="1:7" ht="13.8" thickBot="1" x14ac:dyDescent="0.3">
      <c r="A8" s="428" t="s">
        <v>16</v>
      </c>
      <c r="B8" s="429"/>
      <c r="C8" s="429"/>
      <c r="D8" s="429"/>
      <c r="E8" s="429"/>
      <c r="F8" s="429"/>
      <c r="G8" s="430"/>
    </row>
    <row r="9" spans="1:7" ht="13.8" thickBot="1" x14ac:dyDescent="0.3">
      <c r="A9" s="45"/>
      <c r="B9" s="46"/>
      <c r="C9" s="45"/>
      <c r="D9" s="47"/>
      <c r="E9" s="48"/>
      <c r="F9" s="47"/>
      <c r="G9" s="48"/>
    </row>
    <row r="10" spans="1:7" ht="13.8" thickBot="1" x14ac:dyDescent="0.3">
      <c r="A10" s="428" t="s">
        <v>17</v>
      </c>
      <c r="B10" s="429"/>
      <c r="C10" s="429"/>
      <c r="D10" s="429"/>
      <c r="E10" s="429"/>
      <c r="F10" s="429"/>
      <c r="G10" s="430"/>
    </row>
    <row r="11" spans="1:7" ht="13.8" thickBot="1" x14ac:dyDescent="0.3">
      <c r="A11" s="306" t="s">
        <v>18</v>
      </c>
      <c r="B11" s="307" t="s">
        <v>19</v>
      </c>
      <c r="C11" s="307" t="s">
        <v>3</v>
      </c>
      <c r="D11" s="308" t="s">
        <v>4</v>
      </c>
      <c r="E11" s="309" t="s">
        <v>20</v>
      </c>
      <c r="F11" s="308" t="s">
        <v>21</v>
      </c>
      <c r="G11" s="310" t="s">
        <v>22</v>
      </c>
    </row>
    <row r="12" spans="1:7" x14ac:dyDescent="0.25">
      <c r="A12" s="311" t="s">
        <v>79</v>
      </c>
      <c r="B12" s="49" t="s">
        <v>80</v>
      </c>
      <c r="C12" s="50" t="s">
        <v>81</v>
      </c>
      <c r="D12" s="51" t="s">
        <v>106</v>
      </c>
      <c r="E12" s="52"/>
      <c r="F12" s="51"/>
      <c r="G12" s="312">
        <f>ROUND(0.05*G30,2)</f>
        <v>0.48</v>
      </c>
    </row>
    <row r="13" spans="1:7" ht="13.8" thickBot="1" x14ac:dyDescent="0.3">
      <c r="A13" s="431" t="s">
        <v>23</v>
      </c>
      <c r="B13" s="432"/>
      <c r="C13" s="432"/>
      <c r="D13" s="432"/>
      <c r="E13" s="432"/>
      <c r="F13" s="432"/>
      <c r="G13" s="313">
        <f>G12</f>
        <v>0.48</v>
      </c>
    </row>
    <row r="14" spans="1:7" ht="13.8" thickBot="1" x14ac:dyDescent="0.3">
      <c r="A14" s="45"/>
      <c r="B14" s="46"/>
      <c r="C14" s="45"/>
      <c r="D14" s="47"/>
      <c r="E14" s="48"/>
      <c r="F14" s="47"/>
      <c r="G14" s="48"/>
    </row>
    <row r="15" spans="1:7" ht="13.8" thickBot="1" x14ac:dyDescent="0.3">
      <c r="A15" s="428" t="s">
        <v>24</v>
      </c>
      <c r="B15" s="429"/>
      <c r="C15" s="429"/>
      <c r="D15" s="429"/>
      <c r="E15" s="429"/>
      <c r="F15" s="429"/>
      <c r="G15" s="430"/>
    </row>
    <row r="16" spans="1:7" ht="13.8" thickBot="1" x14ac:dyDescent="0.3">
      <c r="A16" s="306" t="s">
        <v>18</v>
      </c>
      <c r="B16" s="307" t="s">
        <v>19</v>
      </c>
      <c r="C16" s="307" t="s">
        <v>3</v>
      </c>
      <c r="D16" s="308" t="s">
        <v>4</v>
      </c>
      <c r="E16" s="309" t="s">
        <v>20</v>
      </c>
      <c r="F16" s="314"/>
      <c r="G16" s="314" t="s">
        <v>22</v>
      </c>
    </row>
    <row r="17" spans="1:7" x14ac:dyDescent="0.25">
      <c r="A17" s="315" t="s">
        <v>436</v>
      </c>
      <c r="B17" s="316" t="s">
        <v>509</v>
      </c>
      <c r="C17" s="317" t="s">
        <v>48</v>
      </c>
      <c r="D17" s="318">
        <v>12</v>
      </c>
      <c r="E17" s="319">
        <v>5.5</v>
      </c>
      <c r="F17" s="320"/>
      <c r="G17" s="312">
        <f>ROUND(D17*E17,2)</f>
        <v>66</v>
      </c>
    </row>
    <row r="18" spans="1:7" x14ac:dyDescent="0.25">
      <c r="A18" s="323" t="s">
        <v>510</v>
      </c>
      <c r="B18" s="53" t="s">
        <v>511</v>
      </c>
      <c r="C18" s="54" t="s">
        <v>48</v>
      </c>
      <c r="D18" s="55">
        <v>1</v>
      </c>
      <c r="E18" s="56">
        <v>25.5</v>
      </c>
      <c r="F18" s="57"/>
      <c r="G18" s="312">
        <f>ROUND(D18*E18,2)</f>
        <v>25.5</v>
      </c>
    </row>
    <row r="19" spans="1:7" ht="13.8" thickBot="1" x14ac:dyDescent="0.3">
      <c r="A19" s="431" t="s">
        <v>25</v>
      </c>
      <c r="B19" s="432"/>
      <c r="C19" s="432"/>
      <c r="D19" s="432"/>
      <c r="E19" s="432"/>
      <c r="F19" s="432"/>
      <c r="G19" s="313">
        <f>SUM(G17:G18)</f>
        <v>91.5</v>
      </c>
    </row>
    <row r="20" spans="1:7" ht="13.8" thickBot="1" x14ac:dyDescent="0.3">
      <c r="A20" s="45"/>
      <c r="B20" s="46"/>
      <c r="C20" s="45"/>
      <c r="D20" s="47"/>
      <c r="E20" s="48"/>
      <c r="F20" s="47"/>
      <c r="G20" s="48"/>
    </row>
    <row r="21" spans="1:7" ht="13.8" thickBot="1" x14ac:dyDescent="0.3">
      <c r="A21" s="428" t="s">
        <v>26</v>
      </c>
      <c r="B21" s="429"/>
      <c r="C21" s="429"/>
      <c r="D21" s="429"/>
      <c r="E21" s="429"/>
      <c r="F21" s="429"/>
      <c r="G21" s="430"/>
    </row>
    <row r="22" spans="1:7" ht="13.8" thickBot="1" x14ac:dyDescent="0.3">
      <c r="A22" s="306" t="s">
        <v>18</v>
      </c>
      <c r="B22" s="307" t="s">
        <v>19</v>
      </c>
      <c r="C22" s="307" t="s">
        <v>3</v>
      </c>
      <c r="D22" s="307" t="s">
        <v>4</v>
      </c>
      <c r="E22" s="307" t="s">
        <v>27</v>
      </c>
      <c r="F22" s="307" t="s">
        <v>28</v>
      </c>
      <c r="G22" s="322" t="s">
        <v>22</v>
      </c>
    </row>
    <row r="23" spans="1:7" ht="13.8" thickBot="1" x14ac:dyDescent="0.3">
      <c r="A23" s="323"/>
      <c r="B23" s="53"/>
      <c r="C23" s="54"/>
      <c r="D23" s="55"/>
      <c r="E23" s="56"/>
      <c r="F23" s="57"/>
      <c r="G23" s="324"/>
    </row>
    <row r="24" spans="1:7" ht="13.8" thickBot="1" x14ac:dyDescent="0.3">
      <c r="A24" s="426" t="s">
        <v>29</v>
      </c>
      <c r="B24" s="427"/>
      <c r="C24" s="427"/>
      <c r="D24" s="427"/>
      <c r="E24" s="427"/>
      <c r="F24" s="427"/>
      <c r="G24" s="313">
        <v>0</v>
      </c>
    </row>
    <row r="25" spans="1:7" ht="13.8" thickBot="1" x14ac:dyDescent="0.3">
      <c r="A25" s="45"/>
      <c r="B25" s="46"/>
      <c r="C25" s="45"/>
      <c r="D25" s="47"/>
      <c r="E25" s="48"/>
      <c r="F25" s="47"/>
      <c r="G25" s="48"/>
    </row>
    <row r="26" spans="1:7" ht="13.8" thickBot="1" x14ac:dyDescent="0.3">
      <c r="A26" s="428" t="s">
        <v>30</v>
      </c>
      <c r="B26" s="429"/>
      <c r="C26" s="429"/>
      <c r="D26" s="429"/>
      <c r="E26" s="429"/>
      <c r="F26" s="429"/>
      <c r="G26" s="430"/>
    </row>
    <row r="27" spans="1:7" ht="13.8" thickBot="1" x14ac:dyDescent="0.3">
      <c r="A27" s="306" t="s">
        <v>18</v>
      </c>
      <c r="B27" s="307" t="s">
        <v>19</v>
      </c>
      <c r="C27" s="307"/>
      <c r="D27" s="307" t="s">
        <v>31</v>
      </c>
      <c r="E27" s="307" t="s">
        <v>32</v>
      </c>
      <c r="F27" s="307" t="s">
        <v>21</v>
      </c>
      <c r="G27" s="322" t="s">
        <v>22</v>
      </c>
    </row>
    <row r="28" spans="1:7" x14ac:dyDescent="0.25">
      <c r="A28" s="315" t="s">
        <v>74</v>
      </c>
      <c r="B28" s="316" t="s">
        <v>75</v>
      </c>
      <c r="C28" s="325"/>
      <c r="D28" s="318">
        <v>1</v>
      </c>
      <c r="E28" s="319">
        <v>3.41</v>
      </c>
      <c r="F28" s="318">
        <v>0.6</v>
      </c>
      <c r="G28" s="321">
        <f>ROUND(D28*E28*F28,2)</f>
        <v>2.0499999999999998</v>
      </c>
    </row>
    <row r="29" spans="1:7" x14ac:dyDescent="0.25">
      <c r="A29" s="323" t="s">
        <v>76</v>
      </c>
      <c r="B29" s="53" t="s">
        <v>77</v>
      </c>
      <c r="C29" s="72"/>
      <c r="D29" s="55">
        <v>1</v>
      </c>
      <c r="E29" s="56">
        <v>3.45</v>
      </c>
      <c r="F29" s="55">
        <v>2.21</v>
      </c>
      <c r="G29" s="324">
        <f>ROUND(D29*E29*F29,2)</f>
        <v>7.62</v>
      </c>
    </row>
    <row r="30" spans="1:7" ht="13.8" thickBot="1" x14ac:dyDescent="0.3">
      <c r="A30" s="431" t="s">
        <v>33</v>
      </c>
      <c r="B30" s="432"/>
      <c r="C30" s="432"/>
      <c r="D30" s="432"/>
      <c r="E30" s="432"/>
      <c r="F30" s="432"/>
      <c r="G30" s="313">
        <f>SUM(G28:G29)</f>
        <v>9.67</v>
      </c>
    </row>
    <row r="31" spans="1:7" x14ac:dyDescent="0.25">
      <c r="A31" s="45"/>
      <c r="B31" s="46"/>
      <c r="C31" s="45"/>
      <c r="D31" s="47"/>
      <c r="E31" s="48"/>
      <c r="F31" s="47"/>
      <c r="G31" s="48"/>
    </row>
    <row r="32" spans="1:7" x14ac:dyDescent="0.25">
      <c r="A32" s="383" t="s">
        <v>34</v>
      </c>
      <c r="B32" s="384"/>
      <c r="C32" s="384"/>
      <c r="D32" s="384"/>
      <c r="E32" s="384"/>
      <c r="F32" s="384"/>
      <c r="G32" s="58">
        <f>+G13+G19+G30</f>
        <v>101.65</v>
      </c>
    </row>
    <row r="33" spans="1:7" ht="13.8" thickBot="1" x14ac:dyDescent="0.3">
      <c r="A33" s="300"/>
      <c r="B33" s="301"/>
      <c r="C33" s="301"/>
      <c r="D33" s="301"/>
      <c r="E33" s="301"/>
      <c r="F33" s="301"/>
      <c r="G33" s="58"/>
    </row>
    <row r="34" spans="1:7" ht="13.8" thickBot="1" x14ac:dyDescent="0.3">
      <c r="A34" s="428" t="s">
        <v>35</v>
      </c>
      <c r="B34" s="429"/>
      <c r="C34" s="429"/>
      <c r="D34" s="429"/>
      <c r="E34" s="429"/>
      <c r="F34" s="429"/>
      <c r="G34" s="430"/>
    </row>
    <row r="35" spans="1:7" x14ac:dyDescent="0.25">
      <c r="A35" s="433" t="s">
        <v>78</v>
      </c>
      <c r="B35" s="434"/>
      <c r="C35" s="434"/>
      <c r="D35" s="434"/>
      <c r="E35" s="434"/>
      <c r="F35" s="434"/>
      <c r="G35" s="58">
        <f>0.21*G32</f>
        <v>21.346499999999999</v>
      </c>
    </row>
    <row r="36" spans="1:7" ht="13.8" thickBot="1" x14ac:dyDescent="0.3">
      <c r="A36" s="45"/>
      <c r="B36" s="46"/>
      <c r="C36" s="45"/>
      <c r="D36" s="47"/>
      <c r="E36" s="48"/>
      <c r="F36" s="47"/>
      <c r="G36" s="48"/>
    </row>
    <row r="37" spans="1:7" ht="13.8" thickBot="1" x14ac:dyDescent="0.3">
      <c r="A37" s="424" t="s">
        <v>36</v>
      </c>
      <c r="B37" s="425"/>
      <c r="C37" s="425"/>
      <c r="D37" s="425"/>
      <c r="E37" s="425"/>
      <c r="F37" s="425"/>
      <c r="G37" s="326">
        <f>G32+G35</f>
        <v>122.9965</v>
      </c>
    </row>
  </sheetData>
  <mergeCells count="19">
    <mergeCell ref="A21:G21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9:F19"/>
    <mergeCell ref="A37:F37"/>
    <mergeCell ref="A24:F24"/>
    <mergeCell ref="A26:G26"/>
    <mergeCell ref="A30:F30"/>
    <mergeCell ref="A32:F32"/>
    <mergeCell ref="A34:G34"/>
    <mergeCell ref="A35:F35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N17" sqref="N17"/>
    </sheetView>
  </sheetViews>
  <sheetFormatPr baseColWidth="10" defaultRowHeight="13.2" x14ac:dyDescent="0.25"/>
  <cols>
    <col min="1" max="1" width="9.6640625" style="32" customWidth="1"/>
    <col min="2" max="2" width="22.88671875" style="32" customWidth="1"/>
    <col min="3" max="256" width="11.5546875" style="32"/>
    <col min="257" max="257" width="9.6640625" style="32" customWidth="1"/>
    <col min="258" max="258" width="22.88671875" style="32" customWidth="1"/>
    <col min="259" max="512" width="11.5546875" style="32"/>
    <col min="513" max="513" width="9.6640625" style="32" customWidth="1"/>
    <col min="514" max="514" width="22.88671875" style="32" customWidth="1"/>
    <col min="515" max="768" width="11.5546875" style="32"/>
    <col min="769" max="769" width="9.6640625" style="32" customWidth="1"/>
    <col min="770" max="770" width="22.88671875" style="32" customWidth="1"/>
    <col min="771" max="1024" width="11.5546875" style="32"/>
    <col min="1025" max="1025" width="9.6640625" style="32" customWidth="1"/>
    <col min="1026" max="1026" width="22.88671875" style="32" customWidth="1"/>
    <col min="1027" max="1280" width="11.5546875" style="32"/>
    <col min="1281" max="1281" width="9.6640625" style="32" customWidth="1"/>
    <col min="1282" max="1282" width="22.88671875" style="32" customWidth="1"/>
    <col min="1283" max="1536" width="11.5546875" style="32"/>
    <col min="1537" max="1537" width="9.6640625" style="32" customWidth="1"/>
    <col min="1538" max="1538" width="22.88671875" style="32" customWidth="1"/>
    <col min="1539" max="1792" width="11.5546875" style="32"/>
    <col min="1793" max="1793" width="9.6640625" style="32" customWidth="1"/>
    <col min="1794" max="1794" width="22.88671875" style="32" customWidth="1"/>
    <col min="1795" max="2048" width="11.5546875" style="32"/>
    <col min="2049" max="2049" width="9.6640625" style="32" customWidth="1"/>
    <col min="2050" max="2050" width="22.88671875" style="32" customWidth="1"/>
    <col min="2051" max="2304" width="11.5546875" style="32"/>
    <col min="2305" max="2305" width="9.6640625" style="32" customWidth="1"/>
    <col min="2306" max="2306" width="22.88671875" style="32" customWidth="1"/>
    <col min="2307" max="2560" width="11.5546875" style="32"/>
    <col min="2561" max="2561" width="9.6640625" style="32" customWidth="1"/>
    <col min="2562" max="2562" width="22.88671875" style="32" customWidth="1"/>
    <col min="2563" max="2816" width="11.5546875" style="32"/>
    <col min="2817" max="2817" width="9.6640625" style="32" customWidth="1"/>
    <col min="2818" max="2818" width="22.88671875" style="32" customWidth="1"/>
    <col min="2819" max="3072" width="11.5546875" style="32"/>
    <col min="3073" max="3073" width="9.6640625" style="32" customWidth="1"/>
    <col min="3074" max="3074" width="22.88671875" style="32" customWidth="1"/>
    <col min="3075" max="3328" width="11.5546875" style="32"/>
    <col min="3329" max="3329" width="9.6640625" style="32" customWidth="1"/>
    <col min="3330" max="3330" width="22.88671875" style="32" customWidth="1"/>
    <col min="3331" max="3584" width="11.5546875" style="32"/>
    <col min="3585" max="3585" width="9.6640625" style="32" customWidth="1"/>
    <col min="3586" max="3586" width="22.88671875" style="32" customWidth="1"/>
    <col min="3587" max="3840" width="11.5546875" style="32"/>
    <col min="3841" max="3841" width="9.6640625" style="32" customWidth="1"/>
    <col min="3842" max="3842" width="22.88671875" style="32" customWidth="1"/>
    <col min="3843" max="4096" width="11.5546875" style="32"/>
    <col min="4097" max="4097" width="9.6640625" style="32" customWidth="1"/>
    <col min="4098" max="4098" width="22.88671875" style="32" customWidth="1"/>
    <col min="4099" max="4352" width="11.5546875" style="32"/>
    <col min="4353" max="4353" width="9.6640625" style="32" customWidth="1"/>
    <col min="4354" max="4354" width="22.88671875" style="32" customWidth="1"/>
    <col min="4355" max="4608" width="11.5546875" style="32"/>
    <col min="4609" max="4609" width="9.6640625" style="32" customWidth="1"/>
    <col min="4610" max="4610" width="22.88671875" style="32" customWidth="1"/>
    <col min="4611" max="4864" width="11.5546875" style="32"/>
    <col min="4865" max="4865" width="9.6640625" style="32" customWidth="1"/>
    <col min="4866" max="4866" width="22.88671875" style="32" customWidth="1"/>
    <col min="4867" max="5120" width="11.5546875" style="32"/>
    <col min="5121" max="5121" width="9.6640625" style="32" customWidth="1"/>
    <col min="5122" max="5122" width="22.88671875" style="32" customWidth="1"/>
    <col min="5123" max="5376" width="11.5546875" style="32"/>
    <col min="5377" max="5377" width="9.6640625" style="32" customWidth="1"/>
    <col min="5378" max="5378" width="22.88671875" style="32" customWidth="1"/>
    <col min="5379" max="5632" width="11.5546875" style="32"/>
    <col min="5633" max="5633" width="9.6640625" style="32" customWidth="1"/>
    <col min="5634" max="5634" width="22.88671875" style="32" customWidth="1"/>
    <col min="5635" max="5888" width="11.5546875" style="32"/>
    <col min="5889" max="5889" width="9.6640625" style="32" customWidth="1"/>
    <col min="5890" max="5890" width="22.88671875" style="32" customWidth="1"/>
    <col min="5891" max="6144" width="11.5546875" style="32"/>
    <col min="6145" max="6145" width="9.6640625" style="32" customWidth="1"/>
    <col min="6146" max="6146" width="22.88671875" style="32" customWidth="1"/>
    <col min="6147" max="6400" width="11.5546875" style="32"/>
    <col min="6401" max="6401" width="9.6640625" style="32" customWidth="1"/>
    <col min="6402" max="6402" width="22.88671875" style="32" customWidth="1"/>
    <col min="6403" max="6656" width="11.5546875" style="32"/>
    <col min="6657" max="6657" width="9.6640625" style="32" customWidth="1"/>
    <col min="6658" max="6658" width="22.88671875" style="32" customWidth="1"/>
    <col min="6659" max="6912" width="11.5546875" style="32"/>
    <col min="6913" max="6913" width="9.6640625" style="32" customWidth="1"/>
    <col min="6914" max="6914" width="22.88671875" style="32" customWidth="1"/>
    <col min="6915" max="7168" width="11.5546875" style="32"/>
    <col min="7169" max="7169" width="9.6640625" style="32" customWidth="1"/>
    <col min="7170" max="7170" width="22.88671875" style="32" customWidth="1"/>
    <col min="7171" max="7424" width="11.5546875" style="32"/>
    <col min="7425" max="7425" width="9.6640625" style="32" customWidth="1"/>
    <col min="7426" max="7426" width="22.88671875" style="32" customWidth="1"/>
    <col min="7427" max="7680" width="11.5546875" style="32"/>
    <col min="7681" max="7681" width="9.6640625" style="32" customWidth="1"/>
    <col min="7682" max="7682" width="22.88671875" style="32" customWidth="1"/>
    <col min="7683" max="7936" width="11.5546875" style="32"/>
    <col min="7937" max="7937" width="9.6640625" style="32" customWidth="1"/>
    <col min="7938" max="7938" width="22.88671875" style="32" customWidth="1"/>
    <col min="7939" max="8192" width="11.5546875" style="32"/>
    <col min="8193" max="8193" width="9.6640625" style="32" customWidth="1"/>
    <col min="8194" max="8194" width="22.88671875" style="32" customWidth="1"/>
    <col min="8195" max="8448" width="11.5546875" style="32"/>
    <col min="8449" max="8449" width="9.6640625" style="32" customWidth="1"/>
    <col min="8450" max="8450" width="22.88671875" style="32" customWidth="1"/>
    <col min="8451" max="8704" width="11.5546875" style="32"/>
    <col min="8705" max="8705" width="9.6640625" style="32" customWidth="1"/>
    <col min="8706" max="8706" width="22.88671875" style="32" customWidth="1"/>
    <col min="8707" max="8960" width="11.5546875" style="32"/>
    <col min="8961" max="8961" width="9.6640625" style="32" customWidth="1"/>
    <col min="8962" max="8962" width="22.88671875" style="32" customWidth="1"/>
    <col min="8963" max="9216" width="11.5546875" style="32"/>
    <col min="9217" max="9217" width="9.6640625" style="32" customWidth="1"/>
    <col min="9218" max="9218" width="22.88671875" style="32" customWidth="1"/>
    <col min="9219" max="9472" width="11.5546875" style="32"/>
    <col min="9473" max="9473" width="9.6640625" style="32" customWidth="1"/>
    <col min="9474" max="9474" width="22.88671875" style="32" customWidth="1"/>
    <col min="9475" max="9728" width="11.5546875" style="32"/>
    <col min="9729" max="9729" width="9.6640625" style="32" customWidth="1"/>
    <col min="9730" max="9730" width="22.88671875" style="32" customWidth="1"/>
    <col min="9731" max="9984" width="11.5546875" style="32"/>
    <col min="9985" max="9985" width="9.6640625" style="32" customWidth="1"/>
    <col min="9986" max="9986" width="22.88671875" style="32" customWidth="1"/>
    <col min="9987" max="10240" width="11.5546875" style="32"/>
    <col min="10241" max="10241" width="9.6640625" style="32" customWidth="1"/>
    <col min="10242" max="10242" width="22.88671875" style="32" customWidth="1"/>
    <col min="10243" max="10496" width="11.5546875" style="32"/>
    <col min="10497" max="10497" width="9.6640625" style="32" customWidth="1"/>
    <col min="10498" max="10498" width="22.88671875" style="32" customWidth="1"/>
    <col min="10499" max="10752" width="11.5546875" style="32"/>
    <col min="10753" max="10753" width="9.6640625" style="32" customWidth="1"/>
    <col min="10754" max="10754" width="22.88671875" style="32" customWidth="1"/>
    <col min="10755" max="11008" width="11.5546875" style="32"/>
    <col min="11009" max="11009" width="9.6640625" style="32" customWidth="1"/>
    <col min="11010" max="11010" width="22.88671875" style="32" customWidth="1"/>
    <col min="11011" max="11264" width="11.5546875" style="32"/>
    <col min="11265" max="11265" width="9.6640625" style="32" customWidth="1"/>
    <col min="11266" max="11266" width="22.88671875" style="32" customWidth="1"/>
    <col min="11267" max="11520" width="11.5546875" style="32"/>
    <col min="11521" max="11521" width="9.6640625" style="32" customWidth="1"/>
    <col min="11522" max="11522" width="22.88671875" style="32" customWidth="1"/>
    <col min="11523" max="11776" width="11.5546875" style="32"/>
    <col min="11777" max="11777" width="9.6640625" style="32" customWidth="1"/>
    <col min="11778" max="11778" width="22.88671875" style="32" customWidth="1"/>
    <col min="11779" max="12032" width="11.5546875" style="32"/>
    <col min="12033" max="12033" width="9.6640625" style="32" customWidth="1"/>
    <col min="12034" max="12034" width="22.88671875" style="32" customWidth="1"/>
    <col min="12035" max="12288" width="11.5546875" style="32"/>
    <col min="12289" max="12289" width="9.6640625" style="32" customWidth="1"/>
    <col min="12290" max="12290" width="22.88671875" style="32" customWidth="1"/>
    <col min="12291" max="12544" width="11.5546875" style="32"/>
    <col min="12545" max="12545" width="9.6640625" style="32" customWidth="1"/>
    <col min="12546" max="12546" width="22.88671875" style="32" customWidth="1"/>
    <col min="12547" max="12800" width="11.5546875" style="32"/>
    <col min="12801" max="12801" width="9.6640625" style="32" customWidth="1"/>
    <col min="12802" max="12802" width="22.88671875" style="32" customWidth="1"/>
    <col min="12803" max="13056" width="11.5546875" style="32"/>
    <col min="13057" max="13057" width="9.6640625" style="32" customWidth="1"/>
    <col min="13058" max="13058" width="22.88671875" style="32" customWidth="1"/>
    <col min="13059" max="13312" width="11.5546875" style="32"/>
    <col min="13313" max="13313" width="9.6640625" style="32" customWidth="1"/>
    <col min="13314" max="13314" width="22.88671875" style="32" customWidth="1"/>
    <col min="13315" max="13568" width="11.5546875" style="32"/>
    <col min="13569" max="13569" width="9.6640625" style="32" customWidth="1"/>
    <col min="13570" max="13570" width="22.88671875" style="32" customWidth="1"/>
    <col min="13571" max="13824" width="11.5546875" style="32"/>
    <col min="13825" max="13825" width="9.6640625" style="32" customWidth="1"/>
    <col min="13826" max="13826" width="22.88671875" style="32" customWidth="1"/>
    <col min="13827" max="14080" width="11.5546875" style="32"/>
    <col min="14081" max="14081" width="9.6640625" style="32" customWidth="1"/>
    <col min="14082" max="14082" width="22.88671875" style="32" customWidth="1"/>
    <col min="14083" max="14336" width="11.5546875" style="32"/>
    <col min="14337" max="14337" width="9.6640625" style="32" customWidth="1"/>
    <col min="14338" max="14338" width="22.88671875" style="32" customWidth="1"/>
    <col min="14339" max="14592" width="11.5546875" style="32"/>
    <col min="14593" max="14593" width="9.6640625" style="32" customWidth="1"/>
    <col min="14594" max="14594" width="22.88671875" style="32" customWidth="1"/>
    <col min="14595" max="14848" width="11.5546875" style="32"/>
    <col min="14849" max="14849" width="9.6640625" style="32" customWidth="1"/>
    <col min="14850" max="14850" width="22.88671875" style="32" customWidth="1"/>
    <col min="14851" max="15104" width="11.5546875" style="32"/>
    <col min="15105" max="15105" width="9.6640625" style="32" customWidth="1"/>
    <col min="15106" max="15106" width="22.88671875" style="32" customWidth="1"/>
    <col min="15107" max="15360" width="11.5546875" style="32"/>
    <col min="15361" max="15361" width="9.6640625" style="32" customWidth="1"/>
    <col min="15362" max="15362" width="22.88671875" style="32" customWidth="1"/>
    <col min="15363" max="15616" width="11.5546875" style="32"/>
    <col min="15617" max="15617" width="9.6640625" style="32" customWidth="1"/>
    <col min="15618" max="15618" width="22.88671875" style="32" customWidth="1"/>
    <col min="15619" max="15872" width="11.5546875" style="32"/>
    <col min="15873" max="15873" width="9.6640625" style="32" customWidth="1"/>
    <col min="15874" max="15874" width="22.88671875" style="32" customWidth="1"/>
    <col min="15875" max="16128" width="11.5546875" style="32"/>
    <col min="16129" max="16129" width="9.6640625" style="32" customWidth="1"/>
    <col min="16130" max="16130" width="22.88671875" style="32" customWidth="1"/>
    <col min="16131" max="16384" width="11.5546875" style="32"/>
  </cols>
  <sheetData>
    <row r="1" spans="1:7" ht="15.6" x14ac:dyDescent="0.25">
      <c r="A1" s="388" t="s">
        <v>11</v>
      </c>
      <c r="B1" s="388"/>
      <c r="C1" s="388"/>
      <c r="D1" s="388"/>
      <c r="E1" s="388"/>
      <c r="F1" s="388"/>
      <c r="G1" s="36">
        <f ca="1">NOW()</f>
        <v>42851.649512962962</v>
      </c>
    </row>
    <row r="2" spans="1:7" x14ac:dyDescent="0.25">
      <c r="A2" s="37"/>
      <c r="B2" s="389"/>
      <c r="C2" s="389"/>
      <c r="D2" s="389"/>
      <c r="E2" s="37"/>
      <c r="F2" s="390"/>
      <c r="G2" s="390"/>
    </row>
    <row r="3" spans="1:7" x14ac:dyDescent="0.25">
      <c r="A3" s="37" t="s">
        <v>12</v>
      </c>
      <c r="B3" s="38">
        <f>Presupuesto!B61</f>
        <v>54</v>
      </c>
      <c r="C3" s="39"/>
      <c r="D3" s="39"/>
      <c r="E3" s="37"/>
      <c r="F3" s="40"/>
      <c r="G3" s="40"/>
    </row>
    <row r="4" spans="1:7" x14ac:dyDescent="0.25">
      <c r="A4" s="37" t="s">
        <v>13</v>
      </c>
      <c r="B4" s="414" t="str">
        <f>Presupuesto!C61</f>
        <v>505006M</v>
      </c>
      <c r="C4" s="415"/>
      <c r="D4" s="415"/>
      <c r="E4" s="415"/>
      <c r="F4" s="415"/>
      <c r="G4" s="415"/>
    </row>
    <row r="5" spans="1:7" x14ac:dyDescent="0.25">
      <c r="A5" s="37" t="s">
        <v>14</v>
      </c>
      <c r="B5" s="414" t="str">
        <f>Presupuesto!D61</f>
        <v>Limpieza final de la obra</v>
      </c>
      <c r="C5" s="415"/>
      <c r="D5" s="415"/>
      <c r="E5" s="415"/>
      <c r="F5" s="415"/>
      <c r="G5" s="415"/>
    </row>
    <row r="6" spans="1:7" x14ac:dyDescent="0.25">
      <c r="A6" s="37" t="s">
        <v>15</v>
      </c>
      <c r="B6" s="414" t="str">
        <f>Presupuesto!E61</f>
        <v>m2</v>
      </c>
      <c r="C6" s="415"/>
      <c r="D6" s="415"/>
      <c r="E6" s="415"/>
      <c r="F6" s="415"/>
      <c r="G6" s="415"/>
    </row>
    <row r="7" spans="1:7" x14ac:dyDescent="0.25">
      <c r="A7" s="41"/>
      <c r="B7" s="42"/>
      <c r="C7" s="43"/>
      <c r="D7" s="44"/>
      <c r="E7" s="44"/>
      <c r="F7" s="44"/>
      <c r="G7" s="44"/>
    </row>
    <row r="8" spans="1:7" x14ac:dyDescent="0.25">
      <c r="A8" s="385" t="s">
        <v>16</v>
      </c>
      <c r="B8" s="386"/>
      <c r="C8" s="386"/>
      <c r="D8" s="386"/>
      <c r="E8" s="386"/>
      <c r="F8" s="386"/>
      <c r="G8" s="387"/>
    </row>
    <row r="9" spans="1:7" x14ac:dyDescent="0.25">
      <c r="A9" s="45"/>
      <c r="B9" s="46"/>
      <c r="C9" s="45"/>
      <c r="D9" s="47"/>
      <c r="E9" s="48"/>
      <c r="F9" s="47"/>
      <c r="G9" s="48"/>
    </row>
    <row r="10" spans="1:7" x14ac:dyDescent="0.25">
      <c r="A10" s="380" t="s">
        <v>17</v>
      </c>
      <c r="B10" s="381"/>
      <c r="C10" s="381"/>
      <c r="D10" s="381"/>
      <c r="E10" s="381"/>
      <c r="F10" s="381"/>
      <c r="G10" s="382"/>
    </row>
    <row r="11" spans="1:7" x14ac:dyDescent="0.25">
      <c r="A11" s="72" t="s">
        <v>18</v>
      </c>
      <c r="B11" s="72" t="s">
        <v>19</v>
      </c>
      <c r="C11" s="72" t="s">
        <v>3</v>
      </c>
      <c r="D11" s="233" t="s">
        <v>4</v>
      </c>
      <c r="E11" s="159" t="s">
        <v>20</v>
      </c>
      <c r="F11" s="233" t="s">
        <v>21</v>
      </c>
      <c r="G11" s="159" t="s">
        <v>22</v>
      </c>
    </row>
    <row r="12" spans="1:7" x14ac:dyDescent="0.25">
      <c r="A12" s="50" t="s">
        <v>79</v>
      </c>
      <c r="B12" s="49" t="s">
        <v>80</v>
      </c>
      <c r="C12" s="50" t="s">
        <v>81</v>
      </c>
      <c r="D12" s="51" t="s">
        <v>82</v>
      </c>
      <c r="E12" s="52"/>
      <c r="F12" s="51"/>
      <c r="G12" s="52">
        <f>ROUND(0.02*G28,2)</f>
        <v>0</v>
      </c>
    </row>
    <row r="13" spans="1:7" x14ac:dyDescent="0.25">
      <c r="A13" s="378" t="s">
        <v>23</v>
      </c>
      <c r="B13" s="378"/>
      <c r="C13" s="378"/>
      <c r="D13" s="378"/>
      <c r="E13" s="378"/>
      <c r="F13" s="378"/>
      <c r="G13" s="56">
        <f>G12</f>
        <v>0</v>
      </c>
    </row>
    <row r="14" spans="1:7" x14ac:dyDescent="0.25">
      <c r="A14" s="45"/>
      <c r="B14" s="46"/>
      <c r="C14" s="45"/>
      <c r="D14" s="47"/>
      <c r="E14" s="48"/>
      <c r="F14" s="47"/>
      <c r="G14" s="48"/>
    </row>
    <row r="15" spans="1:7" x14ac:dyDescent="0.25">
      <c r="A15" s="380" t="s">
        <v>24</v>
      </c>
      <c r="B15" s="381"/>
      <c r="C15" s="381"/>
      <c r="D15" s="381"/>
      <c r="E15" s="381"/>
      <c r="F15" s="381"/>
      <c r="G15" s="382"/>
    </row>
    <row r="16" spans="1:7" x14ac:dyDescent="0.25">
      <c r="A16" s="72" t="s">
        <v>18</v>
      </c>
      <c r="B16" s="72" t="s">
        <v>19</v>
      </c>
      <c r="C16" s="72" t="s">
        <v>3</v>
      </c>
      <c r="D16" s="233" t="s">
        <v>4</v>
      </c>
      <c r="E16" s="159" t="s">
        <v>20</v>
      </c>
      <c r="F16" s="57"/>
      <c r="G16" s="159" t="s">
        <v>22</v>
      </c>
    </row>
    <row r="17" spans="1:7" x14ac:dyDescent="0.25">
      <c r="A17" s="50"/>
      <c r="B17" s="164"/>
      <c r="C17" s="50"/>
      <c r="D17" s="51"/>
      <c r="E17" s="52"/>
      <c r="F17" s="234"/>
      <c r="G17" s="52"/>
    </row>
    <row r="18" spans="1:7" x14ac:dyDescent="0.25">
      <c r="A18" s="378" t="s">
        <v>25</v>
      </c>
      <c r="B18" s="378"/>
      <c r="C18" s="378"/>
      <c r="D18" s="378"/>
      <c r="E18" s="378"/>
      <c r="F18" s="378"/>
      <c r="G18" s="56">
        <v>0</v>
      </c>
    </row>
    <row r="19" spans="1:7" x14ac:dyDescent="0.25">
      <c r="A19" s="45"/>
      <c r="B19" s="46"/>
      <c r="C19" s="45"/>
      <c r="D19" s="47"/>
      <c r="E19" s="48"/>
      <c r="F19" s="47"/>
      <c r="G19" s="48"/>
    </row>
    <row r="20" spans="1:7" x14ac:dyDescent="0.25">
      <c r="A20" s="380" t="s">
        <v>26</v>
      </c>
      <c r="B20" s="381"/>
      <c r="C20" s="381"/>
      <c r="D20" s="381"/>
      <c r="E20" s="381"/>
      <c r="F20" s="381"/>
      <c r="G20" s="382"/>
    </row>
    <row r="21" spans="1:7" x14ac:dyDescent="0.25">
      <c r="A21" s="72" t="s">
        <v>18</v>
      </c>
      <c r="B21" s="72" t="s">
        <v>19</v>
      </c>
      <c r="C21" s="72" t="s">
        <v>3</v>
      </c>
      <c r="D21" s="72" t="s">
        <v>4</v>
      </c>
      <c r="E21" s="72" t="s">
        <v>27</v>
      </c>
      <c r="F21" s="72" t="s">
        <v>28</v>
      </c>
      <c r="G21" s="72" t="s">
        <v>22</v>
      </c>
    </row>
    <row r="22" spans="1:7" x14ac:dyDescent="0.25">
      <c r="A22" s="160"/>
      <c r="B22" s="161"/>
      <c r="C22" s="160"/>
      <c r="D22" s="162"/>
      <c r="E22" s="163"/>
      <c r="F22" s="131"/>
      <c r="G22" s="52"/>
    </row>
    <row r="23" spans="1:7" x14ac:dyDescent="0.25">
      <c r="A23" s="378" t="s">
        <v>29</v>
      </c>
      <c r="B23" s="379"/>
      <c r="C23" s="379"/>
      <c r="D23" s="379"/>
      <c r="E23" s="379"/>
      <c r="F23" s="379"/>
      <c r="G23" s="56">
        <v>0</v>
      </c>
    </row>
    <row r="24" spans="1:7" x14ac:dyDescent="0.25">
      <c r="A24" s="45"/>
      <c r="B24" s="46"/>
      <c r="C24" s="45"/>
      <c r="D24" s="47"/>
      <c r="E24" s="48"/>
      <c r="F24" s="47"/>
      <c r="G24" s="48"/>
    </row>
    <row r="25" spans="1:7" x14ac:dyDescent="0.25">
      <c r="A25" s="380" t="s">
        <v>30</v>
      </c>
      <c r="B25" s="381"/>
      <c r="C25" s="381"/>
      <c r="D25" s="381"/>
      <c r="E25" s="381"/>
      <c r="F25" s="381"/>
      <c r="G25" s="382"/>
    </row>
    <row r="26" spans="1:7" x14ac:dyDescent="0.25">
      <c r="A26" s="72" t="s">
        <v>18</v>
      </c>
      <c r="B26" s="72" t="s">
        <v>19</v>
      </c>
      <c r="C26" s="72"/>
      <c r="D26" s="72" t="s">
        <v>31</v>
      </c>
      <c r="E26" s="72" t="s">
        <v>32</v>
      </c>
      <c r="F26" s="72" t="s">
        <v>21</v>
      </c>
      <c r="G26" s="72" t="s">
        <v>22</v>
      </c>
    </row>
    <row r="27" spans="1:7" x14ac:dyDescent="0.25">
      <c r="A27" s="50" t="s">
        <v>74</v>
      </c>
      <c r="B27" s="164" t="s">
        <v>75</v>
      </c>
      <c r="C27" s="165"/>
      <c r="D27" s="51">
        <v>1</v>
      </c>
      <c r="E27" s="52">
        <v>3.41</v>
      </c>
      <c r="F27" s="51">
        <v>5.3999999999999999E-2</v>
      </c>
      <c r="G27" s="52">
        <f>ROUND(D27*E27*F27,2)</f>
        <v>0.18</v>
      </c>
    </row>
    <row r="28" spans="1:7" x14ac:dyDescent="0.25">
      <c r="A28" s="378" t="s">
        <v>33</v>
      </c>
      <c r="B28" s="378"/>
      <c r="C28" s="378"/>
      <c r="D28" s="378"/>
      <c r="E28" s="378"/>
      <c r="F28" s="378"/>
      <c r="G28" s="56">
        <f>G27</f>
        <v>0.18</v>
      </c>
    </row>
    <row r="29" spans="1:7" x14ac:dyDescent="0.25">
      <c r="A29" s="45"/>
      <c r="B29" s="46"/>
      <c r="C29" s="45"/>
      <c r="D29" s="47"/>
      <c r="E29" s="48"/>
      <c r="F29" s="47"/>
      <c r="G29" s="48"/>
    </row>
    <row r="30" spans="1:7" x14ac:dyDescent="0.25">
      <c r="A30" s="383" t="s">
        <v>34</v>
      </c>
      <c r="B30" s="384"/>
      <c r="C30" s="384"/>
      <c r="D30" s="384"/>
      <c r="E30" s="384"/>
      <c r="F30" s="384"/>
      <c r="G30" s="58">
        <f>G13+G28</f>
        <v>0.18</v>
      </c>
    </row>
    <row r="31" spans="1:7" x14ac:dyDescent="0.25">
      <c r="A31" s="59"/>
      <c r="B31" s="60"/>
      <c r="C31" s="60"/>
      <c r="D31" s="60"/>
      <c r="E31" s="60"/>
      <c r="F31" s="60"/>
      <c r="G31" s="58"/>
    </row>
    <row r="32" spans="1:7" x14ac:dyDescent="0.25">
      <c r="A32" s="385" t="s">
        <v>35</v>
      </c>
      <c r="B32" s="386"/>
      <c r="C32" s="386"/>
      <c r="D32" s="386"/>
      <c r="E32" s="386"/>
      <c r="F32" s="386"/>
      <c r="G32" s="387"/>
    </row>
    <row r="33" spans="1:7" x14ac:dyDescent="0.25">
      <c r="A33" s="383" t="s">
        <v>78</v>
      </c>
      <c r="B33" s="384"/>
      <c r="C33" s="384"/>
      <c r="D33" s="384"/>
      <c r="E33" s="384"/>
      <c r="F33" s="384"/>
      <c r="G33" s="58">
        <f>ROUND(G30*0.21,2)</f>
        <v>0.04</v>
      </c>
    </row>
    <row r="34" spans="1:7" x14ac:dyDescent="0.25">
      <c r="A34" s="45"/>
      <c r="B34" s="46"/>
      <c r="C34" s="45"/>
      <c r="D34" s="47"/>
      <c r="E34" s="48"/>
      <c r="F34" s="47"/>
      <c r="G34" s="48"/>
    </row>
    <row r="35" spans="1:7" x14ac:dyDescent="0.25">
      <c r="A35" s="376" t="s">
        <v>36</v>
      </c>
      <c r="B35" s="377"/>
      <c r="C35" s="377"/>
      <c r="D35" s="377"/>
      <c r="E35" s="377"/>
      <c r="F35" s="377"/>
      <c r="G35" s="166">
        <f>G30+G33</f>
        <v>0.22</v>
      </c>
    </row>
  </sheetData>
  <mergeCells count="19">
    <mergeCell ref="A35:F35"/>
    <mergeCell ref="A23:F23"/>
    <mergeCell ref="A25:G25"/>
    <mergeCell ref="A28:F28"/>
    <mergeCell ref="A30:F30"/>
    <mergeCell ref="A32:G32"/>
    <mergeCell ref="A33:F33"/>
    <mergeCell ref="A20:G20"/>
    <mergeCell ref="A1:F1"/>
    <mergeCell ref="B2:D2"/>
    <mergeCell ref="F2:G2"/>
    <mergeCell ref="B4:G4"/>
    <mergeCell ref="B5:G5"/>
    <mergeCell ref="B6:G6"/>
    <mergeCell ref="A8:G8"/>
    <mergeCell ref="A10:G10"/>
    <mergeCell ref="A13:F13"/>
    <mergeCell ref="A15:G15"/>
    <mergeCell ref="A18:F18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B4" sqref="B4:B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Presupuesto!B11</f>
        <v>4</v>
      </c>
      <c r="C3" s="8"/>
      <c r="D3" s="8"/>
      <c r="E3" s="7"/>
      <c r="F3" s="9"/>
      <c r="G3" s="9"/>
    </row>
    <row r="4" spans="1:7" x14ac:dyDescent="0.25">
      <c r="A4" s="7" t="s">
        <v>13</v>
      </c>
      <c r="B4" s="196" t="str">
        <f>Presupuesto!C11</f>
        <v>519109</v>
      </c>
      <c r="C4" s="195"/>
      <c r="D4" s="195"/>
      <c r="E4" s="195"/>
      <c r="F4" s="195"/>
      <c r="G4" s="195"/>
    </row>
    <row r="5" spans="1:7" x14ac:dyDescent="0.25">
      <c r="A5" s="7" t="s">
        <v>14</v>
      </c>
      <c r="B5" s="257" t="str">
        <f>Presupuesto!D11</f>
        <v>Excavación sin clasificar</v>
      </c>
      <c r="C5" s="195"/>
      <c r="D5" s="195"/>
      <c r="E5" s="195"/>
      <c r="F5" s="195"/>
      <c r="G5" s="195"/>
    </row>
    <row r="6" spans="1:7" x14ac:dyDescent="0.25">
      <c r="A6" s="7" t="s">
        <v>15</v>
      </c>
      <c r="B6" s="256" t="str">
        <f>Presupuesto!E11</f>
        <v>m3</v>
      </c>
      <c r="C6" s="195"/>
      <c r="D6" s="195"/>
      <c r="E6" s="195"/>
      <c r="F6" s="195"/>
      <c r="G6" s="195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100</v>
      </c>
      <c r="B12" s="18" t="s">
        <v>101</v>
      </c>
      <c r="C12" s="19" t="s">
        <v>85</v>
      </c>
      <c r="D12" s="20">
        <v>1</v>
      </c>
      <c r="E12" s="21">
        <v>26.47</v>
      </c>
      <c r="F12" s="20">
        <v>3.5999999999999997E-2</v>
      </c>
      <c r="G12" s="21">
        <f>D12*E12*F12</f>
        <v>0.95291999999999988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0.95291999999999988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19"/>
      <c r="B17" s="198"/>
      <c r="C17" s="19"/>
      <c r="D17" s="20"/>
      <c r="E17" s="21"/>
      <c r="F17" s="199"/>
      <c r="G17" s="21"/>
    </row>
    <row r="18" spans="1:7" x14ac:dyDescent="0.25">
      <c r="A18" s="398" t="s">
        <v>25</v>
      </c>
      <c r="B18" s="398"/>
      <c r="C18" s="398"/>
      <c r="D18" s="398"/>
      <c r="E18" s="398"/>
      <c r="F18" s="398"/>
      <c r="G18" s="24">
        <v>0</v>
      </c>
    </row>
    <row r="19" spans="1:7" x14ac:dyDescent="0.25">
      <c r="A19" s="14"/>
      <c r="B19" s="15"/>
      <c r="C19" s="14"/>
      <c r="D19" s="16"/>
      <c r="E19" s="17"/>
      <c r="F19" s="16"/>
      <c r="G19" s="17"/>
    </row>
    <row r="20" spans="1:7" x14ac:dyDescent="0.25">
      <c r="A20" s="395" t="s">
        <v>26</v>
      </c>
      <c r="B20" s="396"/>
      <c r="C20" s="396"/>
      <c r="D20" s="396"/>
      <c r="E20" s="396"/>
      <c r="F20" s="396"/>
      <c r="G20" s="397"/>
    </row>
    <row r="21" spans="1:7" x14ac:dyDescent="0.25">
      <c r="A21" s="27" t="s">
        <v>18</v>
      </c>
      <c r="B21" s="27" t="s">
        <v>19</v>
      </c>
      <c r="C21" s="27" t="s">
        <v>3</v>
      </c>
      <c r="D21" s="27" t="s">
        <v>4</v>
      </c>
      <c r="E21" s="27" t="s">
        <v>27</v>
      </c>
      <c r="F21" s="27" t="s">
        <v>28</v>
      </c>
      <c r="G21" s="27" t="s">
        <v>22</v>
      </c>
    </row>
    <row r="22" spans="1:7" x14ac:dyDescent="0.25">
      <c r="A22" s="22"/>
      <c r="B22" s="25"/>
      <c r="C22" s="22"/>
      <c r="D22" s="23"/>
      <c r="E22" s="24"/>
      <c r="F22" s="26"/>
      <c r="G22" s="21"/>
    </row>
    <row r="23" spans="1:7" x14ac:dyDescent="0.25">
      <c r="A23" s="393" t="s">
        <v>29</v>
      </c>
      <c r="B23" s="394"/>
      <c r="C23" s="394"/>
      <c r="D23" s="394"/>
      <c r="E23" s="394"/>
      <c r="F23" s="394"/>
      <c r="G23" s="24">
        <v>0</v>
      </c>
    </row>
    <row r="24" spans="1:7" x14ac:dyDescent="0.25">
      <c r="A24" s="14"/>
      <c r="B24" s="15"/>
      <c r="C24" s="14"/>
      <c r="D24" s="16"/>
      <c r="E24" s="17"/>
      <c r="F24" s="16"/>
      <c r="G24" s="17"/>
    </row>
    <row r="25" spans="1:7" x14ac:dyDescent="0.25">
      <c r="A25" s="395" t="s">
        <v>30</v>
      </c>
      <c r="B25" s="396"/>
      <c r="C25" s="396"/>
      <c r="D25" s="396"/>
      <c r="E25" s="396"/>
      <c r="F25" s="396"/>
      <c r="G25" s="397"/>
    </row>
    <row r="26" spans="1:7" x14ac:dyDescent="0.25">
      <c r="A26" s="27" t="s">
        <v>18</v>
      </c>
      <c r="B26" s="27" t="s">
        <v>19</v>
      </c>
      <c r="C26" s="27"/>
      <c r="D26" s="27" t="s">
        <v>31</v>
      </c>
      <c r="E26" s="27" t="s">
        <v>32</v>
      </c>
      <c r="F26" s="27" t="s">
        <v>21</v>
      </c>
      <c r="G26" s="27" t="s">
        <v>22</v>
      </c>
    </row>
    <row r="27" spans="1:7" x14ac:dyDescent="0.25">
      <c r="A27" s="19" t="s">
        <v>90</v>
      </c>
      <c r="B27" s="198" t="s">
        <v>91</v>
      </c>
      <c r="C27" s="188"/>
      <c r="D27" s="20">
        <v>0.25</v>
      </c>
      <c r="E27" s="21">
        <v>3.83</v>
      </c>
      <c r="F27" s="20">
        <v>3.5999999999999997E-2</v>
      </c>
      <c r="G27" s="21">
        <f>D27*E27*F27</f>
        <v>3.4470000000000001E-2</v>
      </c>
    </row>
    <row r="28" spans="1:7" x14ac:dyDescent="0.25">
      <c r="A28" s="22" t="s">
        <v>94</v>
      </c>
      <c r="B28" s="25" t="s">
        <v>95</v>
      </c>
      <c r="C28" s="27"/>
      <c r="D28" s="23">
        <v>1</v>
      </c>
      <c r="E28" s="24">
        <v>3.82</v>
      </c>
      <c r="F28" s="23">
        <v>3.5999999999999997E-2</v>
      </c>
      <c r="G28" s="24">
        <f>D28*E28*F28</f>
        <v>0.13751999999999998</v>
      </c>
    </row>
    <row r="29" spans="1:7" x14ac:dyDescent="0.25">
      <c r="A29" s="22" t="s">
        <v>98</v>
      </c>
      <c r="B29" s="25" t="s">
        <v>99</v>
      </c>
      <c r="C29" s="27"/>
      <c r="D29" s="23">
        <v>1</v>
      </c>
      <c r="E29" s="24">
        <v>3.5</v>
      </c>
      <c r="F29" s="23">
        <v>3.5999999999999997E-2</v>
      </c>
      <c r="G29" s="24">
        <f>D29*E29*F29</f>
        <v>0.126</v>
      </c>
    </row>
    <row r="30" spans="1:7" x14ac:dyDescent="0.25">
      <c r="A30" s="398" t="s">
        <v>33</v>
      </c>
      <c r="B30" s="398"/>
      <c r="C30" s="398"/>
      <c r="D30" s="398"/>
      <c r="E30" s="398"/>
      <c r="F30" s="398"/>
      <c r="G30" s="24">
        <f>SUM(G27:G29)</f>
        <v>0.29798999999999998</v>
      </c>
    </row>
    <row r="31" spans="1:7" x14ac:dyDescent="0.25">
      <c r="A31" s="14"/>
      <c r="B31" s="15"/>
      <c r="C31" s="14"/>
      <c r="D31" s="16"/>
      <c r="E31" s="17"/>
      <c r="F31" s="16"/>
      <c r="G31" s="17"/>
    </row>
    <row r="32" spans="1:7" x14ac:dyDescent="0.25">
      <c r="A32" s="399" t="s">
        <v>34</v>
      </c>
      <c r="B32" s="400"/>
      <c r="C32" s="400"/>
      <c r="D32" s="400"/>
      <c r="E32" s="400"/>
      <c r="F32" s="400"/>
      <c r="G32" s="5">
        <f>+G30+G13+G18+G23</f>
        <v>1.2509099999999997</v>
      </c>
    </row>
    <row r="33" spans="1:7" x14ac:dyDescent="0.25">
      <c r="A33" s="28"/>
      <c r="B33" s="29"/>
      <c r="C33" s="29"/>
      <c r="D33" s="29"/>
      <c r="E33" s="29"/>
      <c r="F33" s="29"/>
      <c r="G33" s="5"/>
    </row>
    <row r="34" spans="1:7" x14ac:dyDescent="0.25">
      <c r="A34" s="401" t="s">
        <v>35</v>
      </c>
      <c r="B34" s="402"/>
      <c r="C34" s="402"/>
      <c r="D34" s="402"/>
      <c r="E34" s="402"/>
      <c r="F34" s="402"/>
      <c r="G34" s="403"/>
    </row>
    <row r="35" spans="1:7" x14ac:dyDescent="0.25">
      <c r="A35" s="399" t="s">
        <v>78</v>
      </c>
      <c r="B35" s="400"/>
      <c r="C35" s="400"/>
      <c r="D35" s="400"/>
      <c r="E35" s="400"/>
      <c r="F35" s="400"/>
      <c r="G35" s="5">
        <f>0.21*G32</f>
        <v>0.26269109999999996</v>
      </c>
    </row>
    <row r="36" spans="1:7" x14ac:dyDescent="0.25">
      <c r="A36" s="14"/>
      <c r="B36" s="15"/>
      <c r="C36" s="14"/>
      <c r="D36" s="16"/>
      <c r="E36" s="17"/>
      <c r="F36" s="16"/>
      <c r="G36" s="17"/>
    </row>
    <row r="37" spans="1:7" x14ac:dyDescent="0.25">
      <c r="A37" s="391" t="s">
        <v>36</v>
      </c>
      <c r="B37" s="392"/>
      <c r="C37" s="392"/>
      <c r="D37" s="392"/>
      <c r="E37" s="392"/>
      <c r="F37" s="392"/>
      <c r="G37" s="200">
        <f>G32+G35</f>
        <v>1.5136010999999998</v>
      </c>
    </row>
  </sheetData>
  <mergeCells count="16">
    <mergeCell ref="A20:G20"/>
    <mergeCell ref="A1:F1"/>
    <mergeCell ref="B2:D2"/>
    <mergeCell ref="F2:G2"/>
    <mergeCell ref="A8:G8"/>
    <mergeCell ref="A10:G10"/>
    <mergeCell ref="A13:F13"/>
    <mergeCell ref="A15:G15"/>
    <mergeCell ref="A18:F18"/>
    <mergeCell ref="A37:F37"/>
    <mergeCell ref="A23:F23"/>
    <mergeCell ref="A25:G25"/>
    <mergeCell ref="A30:F30"/>
    <mergeCell ref="A32:F32"/>
    <mergeCell ref="A34:G34"/>
    <mergeCell ref="A35:F35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B4" sqref="B4:B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Presupuesto!B12</f>
        <v>5</v>
      </c>
      <c r="C3" s="8"/>
      <c r="D3" s="8"/>
      <c r="E3" s="7"/>
      <c r="F3" s="9"/>
      <c r="G3" s="9"/>
    </row>
    <row r="4" spans="1:7" x14ac:dyDescent="0.25">
      <c r="A4" s="7" t="s">
        <v>13</v>
      </c>
      <c r="B4" s="229" t="str">
        <f>Presupuesto!C12</f>
        <v>518307</v>
      </c>
      <c r="C4" s="126"/>
      <c r="D4" s="126"/>
      <c r="E4" s="126"/>
      <c r="F4" s="126"/>
      <c r="G4" s="126"/>
    </row>
    <row r="5" spans="1:7" x14ac:dyDescent="0.25">
      <c r="A5" s="7" t="s">
        <v>14</v>
      </c>
      <c r="B5" s="256" t="str">
        <f>Presupuesto!D12</f>
        <v>Mejoramiento de suelo con lastre inc. material</v>
      </c>
      <c r="C5" s="195"/>
      <c r="D5" s="195"/>
      <c r="E5" s="195"/>
      <c r="F5" s="195"/>
      <c r="G5" s="195"/>
    </row>
    <row r="6" spans="1:7" x14ac:dyDescent="0.25">
      <c r="A6" s="7" t="s">
        <v>15</v>
      </c>
      <c r="B6" s="256" t="str">
        <f>Presupuesto!E12</f>
        <v>m3</v>
      </c>
      <c r="C6" s="195"/>
      <c r="D6" s="195"/>
      <c r="E6" s="195"/>
      <c r="F6" s="195"/>
      <c r="G6" s="195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201" t="s">
        <v>83</v>
      </c>
      <c r="B12" s="202" t="s">
        <v>84</v>
      </c>
      <c r="C12" s="201" t="s">
        <v>85</v>
      </c>
      <c r="D12" s="203">
        <v>1</v>
      </c>
      <c r="E12" s="204">
        <v>48</v>
      </c>
      <c r="F12" s="203">
        <v>2.5000000000000001E-2</v>
      </c>
      <c r="G12" s="204">
        <f>D12*E12*F12</f>
        <v>1.2000000000000002</v>
      </c>
    </row>
    <row r="13" spans="1:7" x14ac:dyDescent="0.25">
      <c r="A13" s="205" t="s">
        <v>102</v>
      </c>
      <c r="B13" s="206" t="s">
        <v>103</v>
      </c>
      <c r="C13" s="205" t="s">
        <v>85</v>
      </c>
      <c r="D13" s="207">
        <v>1</v>
      </c>
      <c r="E13" s="208">
        <v>30.21</v>
      </c>
      <c r="F13" s="207">
        <v>2.5000000000000001E-2</v>
      </c>
      <c r="G13" s="208">
        <f>D13*E13*F13</f>
        <v>0.75525000000000009</v>
      </c>
    </row>
    <row r="14" spans="1:7" x14ac:dyDescent="0.25">
      <c r="A14" s="209" t="s">
        <v>88</v>
      </c>
      <c r="B14" s="210" t="s">
        <v>89</v>
      </c>
      <c r="C14" s="209" t="s">
        <v>85</v>
      </c>
      <c r="D14" s="211">
        <v>1</v>
      </c>
      <c r="E14" s="212">
        <v>15.9</v>
      </c>
      <c r="F14" s="211">
        <v>2.5000000000000001E-2</v>
      </c>
      <c r="G14" s="212">
        <f>D14*E14*F14</f>
        <v>0.39750000000000002</v>
      </c>
    </row>
    <row r="15" spans="1:7" x14ac:dyDescent="0.25">
      <c r="A15" s="398" t="s">
        <v>23</v>
      </c>
      <c r="B15" s="398"/>
      <c r="C15" s="398"/>
      <c r="D15" s="398"/>
      <c r="E15" s="398"/>
      <c r="F15" s="398"/>
      <c r="G15" s="24">
        <f>SUM(G12:G14)</f>
        <v>2.3527500000000003</v>
      </c>
    </row>
    <row r="16" spans="1:7" x14ac:dyDescent="0.25">
      <c r="A16" s="14"/>
      <c r="B16" s="15"/>
      <c r="C16" s="14"/>
      <c r="D16" s="16"/>
      <c r="E16" s="17"/>
      <c r="F16" s="16"/>
      <c r="G16" s="17"/>
    </row>
    <row r="17" spans="1:7" x14ac:dyDescent="0.25">
      <c r="A17" s="395" t="s">
        <v>24</v>
      </c>
      <c r="B17" s="396"/>
      <c r="C17" s="396"/>
      <c r="D17" s="396"/>
      <c r="E17" s="396"/>
      <c r="F17" s="396"/>
      <c r="G17" s="397"/>
    </row>
    <row r="18" spans="1:7" x14ac:dyDescent="0.25">
      <c r="A18" s="27" t="s">
        <v>18</v>
      </c>
      <c r="B18" s="27" t="s">
        <v>19</v>
      </c>
      <c r="C18" s="27" t="s">
        <v>3</v>
      </c>
      <c r="D18" s="197" t="s">
        <v>4</v>
      </c>
      <c r="E18" s="189" t="s">
        <v>20</v>
      </c>
      <c r="F18" s="26"/>
      <c r="G18" s="189" t="s">
        <v>22</v>
      </c>
    </row>
    <row r="19" spans="1:7" x14ac:dyDescent="0.25">
      <c r="A19" s="19" t="s">
        <v>104</v>
      </c>
      <c r="B19" s="198" t="s">
        <v>105</v>
      </c>
      <c r="C19" s="19" t="s">
        <v>43</v>
      </c>
      <c r="D19" s="20">
        <v>1.2</v>
      </c>
      <c r="E19" s="21">
        <v>8.0250000000000004</v>
      </c>
      <c r="F19" s="199"/>
      <c r="G19" s="21">
        <f>D19*E19</f>
        <v>9.6300000000000008</v>
      </c>
    </row>
    <row r="20" spans="1:7" x14ac:dyDescent="0.25">
      <c r="A20" s="398" t="s">
        <v>25</v>
      </c>
      <c r="B20" s="398"/>
      <c r="C20" s="398"/>
      <c r="D20" s="398"/>
      <c r="E20" s="398"/>
      <c r="F20" s="398"/>
      <c r="G20" s="24">
        <f>G19</f>
        <v>9.6300000000000008</v>
      </c>
    </row>
    <row r="21" spans="1:7" x14ac:dyDescent="0.25">
      <c r="A21" s="14"/>
      <c r="B21" s="15"/>
      <c r="C21" s="14"/>
      <c r="D21" s="16"/>
      <c r="E21" s="17"/>
      <c r="F21" s="16"/>
      <c r="G21" s="17"/>
    </row>
    <row r="22" spans="1:7" x14ac:dyDescent="0.25">
      <c r="A22" s="395" t="s">
        <v>26</v>
      </c>
      <c r="B22" s="396"/>
      <c r="C22" s="396"/>
      <c r="D22" s="396"/>
      <c r="E22" s="396"/>
      <c r="F22" s="396"/>
      <c r="G22" s="397"/>
    </row>
    <row r="23" spans="1:7" x14ac:dyDescent="0.25">
      <c r="A23" s="27" t="s">
        <v>18</v>
      </c>
      <c r="B23" s="27" t="s">
        <v>19</v>
      </c>
      <c r="C23" s="27" t="s">
        <v>3</v>
      </c>
      <c r="D23" s="27" t="s">
        <v>4</v>
      </c>
      <c r="E23" s="27" t="s">
        <v>27</v>
      </c>
      <c r="F23" s="27" t="s">
        <v>28</v>
      </c>
      <c r="G23" s="27" t="s">
        <v>22</v>
      </c>
    </row>
    <row r="24" spans="1:7" x14ac:dyDescent="0.25">
      <c r="A24" s="22"/>
      <c r="B24" s="25"/>
      <c r="C24" s="22"/>
      <c r="D24" s="23"/>
      <c r="E24" s="24"/>
      <c r="F24" s="26"/>
      <c r="G24" s="21"/>
    </row>
    <row r="25" spans="1:7" x14ac:dyDescent="0.25">
      <c r="A25" s="393" t="s">
        <v>29</v>
      </c>
      <c r="B25" s="394"/>
      <c r="C25" s="394"/>
      <c r="D25" s="394"/>
      <c r="E25" s="394"/>
      <c r="F25" s="394"/>
      <c r="G25" s="24">
        <v>0</v>
      </c>
    </row>
    <row r="26" spans="1:7" x14ac:dyDescent="0.25">
      <c r="A26" s="14"/>
      <c r="B26" s="15"/>
      <c r="C26" s="14"/>
      <c r="D26" s="16"/>
      <c r="E26" s="17"/>
      <c r="F26" s="16"/>
      <c r="G26" s="17"/>
    </row>
    <row r="27" spans="1:7" x14ac:dyDescent="0.25">
      <c r="A27" s="395" t="s">
        <v>30</v>
      </c>
      <c r="B27" s="396"/>
      <c r="C27" s="396"/>
      <c r="D27" s="396"/>
      <c r="E27" s="396"/>
      <c r="F27" s="396"/>
      <c r="G27" s="397"/>
    </row>
    <row r="28" spans="1:7" x14ac:dyDescent="0.25">
      <c r="A28" s="27" t="s">
        <v>18</v>
      </c>
      <c r="B28" s="27" t="s">
        <v>19</v>
      </c>
      <c r="C28" s="27"/>
      <c r="D28" s="27" t="s">
        <v>31</v>
      </c>
      <c r="E28" s="27" t="s">
        <v>32</v>
      </c>
      <c r="F28" s="27" t="s">
        <v>21</v>
      </c>
      <c r="G28" s="27" t="s">
        <v>22</v>
      </c>
    </row>
    <row r="29" spans="1:7" x14ac:dyDescent="0.25">
      <c r="A29" s="19" t="s">
        <v>74</v>
      </c>
      <c r="B29" s="198" t="s">
        <v>75</v>
      </c>
      <c r="C29" s="188"/>
      <c r="D29" s="20">
        <v>1</v>
      </c>
      <c r="E29" s="21">
        <v>3.41</v>
      </c>
      <c r="F29" s="20">
        <v>2.5000000000000001E-2</v>
      </c>
      <c r="G29" s="21">
        <f>D29*E29*F29</f>
        <v>8.5250000000000006E-2</v>
      </c>
    </row>
    <row r="30" spans="1:7" x14ac:dyDescent="0.25">
      <c r="A30" s="22" t="s">
        <v>94</v>
      </c>
      <c r="B30" s="25" t="s">
        <v>95</v>
      </c>
      <c r="C30" s="27"/>
      <c r="D30" s="23">
        <v>1</v>
      </c>
      <c r="E30" s="24">
        <v>3.82</v>
      </c>
      <c r="F30" s="23">
        <v>2.5000000000000001E-2</v>
      </c>
      <c r="G30" s="24">
        <f>D30*E30*F30</f>
        <v>9.5500000000000002E-2</v>
      </c>
    </row>
    <row r="31" spans="1:7" x14ac:dyDescent="0.25">
      <c r="A31" s="22" t="s">
        <v>96</v>
      </c>
      <c r="B31" s="25" t="s">
        <v>97</v>
      </c>
      <c r="C31" s="27"/>
      <c r="D31" s="23">
        <v>1</v>
      </c>
      <c r="E31" s="24">
        <v>3.64</v>
      </c>
      <c r="F31" s="23">
        <v>2.5000000000000001E-2</v>
      </c>
      <c r="G31" s="24">
        <f>D31*E31*F31</f>
        <v>9.1000000000000011E-2</v>
      </c>
    </row>
    <row r="32" spans="1:7" x14ac:dyDescent="0.25">
      <c r="A32" s="22" t="s">
        <v>92</v>
      </c>
      <c r="B32" s="25" t="s">
        <v>93</v>
      </c>
      <c r="C32" s="27"/>
      <c r="D32" s="23">
        <v>1</v>
      </c>
      <c r="E32" s="24">
        <v>5</v>
      </c>
      <c r="F32" s="23">
        <v>2.5000000000000001E-2</v>
      </c>
      <c r="G32" s="24">
        <f>D32*E32*F32</f>
        <v>0.125</v>
      </c>
    </row>
    <row r="33" spans="1:7" x14ac:dyDescent="0.25">
      <c r="A33" s="22" t="s">
        <v>98</v>
      </c>
      <c r="B33" s="25" t="s">
        <v>99</v>
      </c>
      <c r="C33" s="27"/>
      <c r="D33" s="23">
        <v>2</v>
      </c>
      <c r="E33" s="24">
        <v>3.5</v>
      </c>
      <c r="F33" s="23">
        <v>2.5000000000000001E-2</v>
      </c>
      <c r="G33" s="24">
        <f>D33*E33*F33</f>
        <v>0.17500000000000002</v>
      </c>
    </row>
    <row r="34" spans="1:7" x14ac:dyDescent="0.25">
      <c r="A34" s="398" t="s">
        <v>33</v>
      </c>
      <c r="B34" s="398"/>
      <c r="C34" s="398"/>
      <c r="D34" s="398"/>
      <c r="E34" s="398"/>
      <c r="F34" s="398"/>
      <c r="G34" s="24">
        <f>SUM(G29:G33)</f>
        <v>0.57175000000000009</v>
      </c>
    </row>
    <row r="35" spans="1:7" x14ac:dyDescent="0.25">
      <c r="A35" s="14"/>
      <c r="B35" s="15"/>
      <c r="C35" s="14"/>
      <c r="D35" s="16"/>
      <c r="E35" s="17"/>
      <c r="F35" s="16"/>
      <c r="G35" s="17"/>
    </row>
    <row r="36" spans="1:7" x14ac:dyDescent="0.25">
      <c r="A36" s="399" t="s">
        <v>34</v>
      </c>
      <c r="B36" s="400"/>
      <c r="C36" s="400"/>
      <c r="D36" s="400"/>
      <c r="E36" s="400"/>
      <c r="F36" s="400"/>
      <c r="G36" s="5">
        <f>+G34+G25+G20+G15</f>
        <v>12.554500000000001</v>
      </c>
    </row>
    <row r="37" spans="1:7" x14ac:dyDescent="0.25">
      <c r="A37" s="28"/>
      <c r="B37" s="29"/>
      <c r="C37" s="29"/>
      <c r="D37" s="29"/>
      <c r="E37" s="29"/>
      <c r="F37" s="29"/>
      <c r="G37" s="5"/>
    </row>
    <row r="38" spans="1:7" x14ac:dyDescent="0.25">
      <c r="A38" s="401" t="s">
        <v>35</v>
      </c>
      <c r="B38" s="402"/>
      <c r="C38" s="402"/>
      <c r="D38" s="402"/>
      <c r="E38" s="402"/>
      <c r="F38" s="402"/>
      <c r="G38" s="403"/>
    </row>
    <row r="39" spans="1:7" x14ac:dyDescent="0.25">
      <c r="A39" s="399" t="s">
        <v>78</v>
      </c>
      <c r="B39" s="400"/>
      <c r="C39" s="400"/>
      <c r="D39" s="400"/>
      <c r="E39" s="400"/>
      <c r="F39" s="400"/>
      <c r="G39" s="5">
        <f>0.21*G36</f>
        <v>2.6364450000000001</v>
      </c>
    </row>
    <row r="40" spans="1:7" x14ac:dyDescent="0.25">
      <c r="A40" s="14"/>
      <c r="B40" s="15"/>
      <c r="C40" s="14"/>
      <c r="D40" s="16"/>
      <c r="E40" s="17"/>
      <c r="F40" s="16"/>
      <c r="G40" s="17"/>
    </row>
    <row r="41" spans="1:7" x14ac:dyDescent="0.25">
      <c r="A41" s="391" t="s">
        <v>36</v>
      </c>
      <c r="B41" s="392"/>
      <c r="C41" s="392"/>
      <c r="D41" s="392"/>
      <c r="E41" s="392"/>
      <c r="F41" s="392"/>
      <c r="G41" s="200">
        <f>G36+G39</f>
        <v>15.190945000000001</v>
      </c>
    </row>
  </sheetData>
  <mergeCells count="16">
    <mergeCell ref="A22:G22"/>
    <mergeCell ref="A1:F1"/>
    <mergeCell ref="B2:D2"/>
    <mergeCell ref="F2:G2"/>
    <mergeCell ref="A8:G8"/>
    <mergeCell ref="A10:G10"/>
    <mergeCell ref="A15:F15"/>
    <mergeCell ref="A17:G17"/>
    <mergeCell ref="A20:F20"/>
    <mergeCell ref="A41:F41"/>
    <mergeCell ref="A25:F25"/>
    <mergeCell ref="A27:G27"/>
    <mergeCell ref="A34:F34"/>
    <mergeCell ref="A36:F36"/>
    <mergeCell ref="A38:G38"/>
    <mergeCell ref="A39:F39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B4" sqref="B4:B6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Presupuesto!B13</f>
        <v>6</v>
      </c>
      <c r="C3" s="8"/>
      <c r="D3" s="8"/>
      <c r="E3" s="7"/>
      <c r="F3" s="9"/>
      <c r="G3" s="9"/>
    </row>
    <row r="4" spans="1:7" x14ac:dyDescent="0.25">
      <c r="A4" s="7" t="s">
        <v>13</v>
      </c>
      <c r="B4" s="229" t="str">
        <f>Presupuesto!C13</f>
        <v>510005</v>
      </c>
      <c r="C4" s="194"/>
      <c r="D4" s="194"/>
      <c r="E4" s="194"/>
      <c r="F4" s="194"/>
      <c r="G4" s="194"/>
    </row>
    <row r="5" spans="1:7" x14ac:dyDescent="0.25">
      <c r="A5" s="7" t="s">
        <v>14</v>
      </c>
      <c r="B5" s="258" t="str">
        <f>Presupuesto!D13</f>
        <v>Excavación a mano</v>
      </c>
      <c r="C5" s="194"/>
      <c r="D5" s="194"/>
      <c r="E5" s="194"/>
      <c r="F5" s="194"/>
      <c r="G5" s="194"/>
    </row>
    <row r="6" spans="1:7" x14ac:dyDescent="0.25">
      <c r="A6" s="7" t="s">
        <v>15</v>
      </c>
      <c r="B6" s="229" t="str">
        <f>Presupuesto!E13</f>
        <v>m3</v>
      </c>
      <c r="C6" s="194"/>
      <c r="D6" s="194"/>
      <c r="E6" s="194"/>
      <c r="F6" s="194"/>
      <c r="G6" s="194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ROUND(0.05*G28,2)</f>
        <v>0.34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0.34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19"/>
      <c r="B17" s="198"/>
      <c r="C17" s="19"/>
      <c r="D17" s="20"/>
      <c r="E17" s="21"/>
      <c r="F17" s="199"/>
      <c r="G17" s="21"/>
    </row>
    <row r="18" spans="1:7" x14ac:dyDescent="0.25">
      <c r="A18" s="398" t="s">
        <v>25</v>
      </c>
      <c r="B18" s="398"/>
      <c r="C18" s="398"/>
      <c r="D18" s="398"/>
      <c r="E18" s="398"/>
      <c r="F18" s="398"/>
      <c r="G18" s="24">
        <v>0</v>
      </c>
    </row>
    <row r="19" spans="1:7" x14ac:dyDescent="0.25">
      <c r="A19" s="14"/>
      <c r="B19" s="15"/>
      <c r="C19" s="14"/>
      <c r="D19" s="16"/>
      <c r="E19" s="17"/>
      <c r="F19" s="16"/>
      <c r="G19" s="17"/>
    </row>
    <row r="20" spans="1:7" x14ac:dyDescent="0.25">
      <c r="A20" s="395" t="s">
        <v>26</v>
      </c>
      <c r="B20" s="396"/>
      <c r="C20" s="396"/>
      <c r="D20" s="396"/>
      <c r="E20" s="396"/>
      <c r="F20" s="396"/>
      <c r="G20" s="397"/>
    </row>
    <row r="21" spans="1:7" x14ac:dyDescent="0.25">
      <c r="A21" s="27" t="s">
        <v>18</v>
      </c>
      <c r="B21" s="27" t="s">
        <v>19</v>
      </c>
      <c r="C21" s="27" t="s">
        <v>3</v>
      </c>
      <c r="D21" s="27" t="s">
        <v>4</v>
      </c>
      <c r="E21" s="27" t="s">
        <v>27</v>
      </c>
      <c r="F21" s="27" t="s">
        <v>28</v>
      </c>
      <c r="G21" s="27" t="s">
        <v>22</v>
      </c>
    </row>
    <row r="22" spans="1:7" x14ac:dyDescent="0.25">
      <c r="A22" s="22"/>
      <c r="B22" s="25"/>
      <c r="C22" s="22"/>
      <c r="D22" s="23"/>
      <c r="E22" s="24"/>
      <c r="F22" s="26"/>
      <c r="G22" s="21"/>
    </row>
    <row r="23" spans="1:7" x14ac:dyDescent="0.25">
      <c r="A23" s="393" t="s">
        <v>29</v>
      </c>
      <c r="B23" s="394"/>
      <c r="C23" s="394"/>
      <c r="D23" s="394"/>
      <c r="E23" s="394"/>
      <c r="F23" s="394"/>
      <c r="G23" s="24">
        <v>0</v>
      </c>
    </row>
    <row r="24" spans="1:7" x14ac:dyDescent="0.25">
      <c r="A24" s="14"/>
      <c r="B24" s="15"/>
      <c r="C24" s="14"/>
      <c r="D24" s="16"/>
      <c r="E24" s="17"/>
      <c r="F24" s="16"/>
      <c r="G24" s="17"/>
    </row>
    <row r="25" spans="1:7" x14ac:dyDescent="0.25">
      <c r="A25" s="395" t="s">
        <v>30</v>
      </c>
      <c r="B25" s="396"/>
      <c r="C25" s="396"/>
      <c r="D25" s="396"/>
      <c r="E25" s="396"/>
      <c r="F25" s="396"/>
      <c r="G25" s="397"/>
    </row>
    <row r="26" spans="1:7" x14ac:dyDescent="0.25">
      <c r="A26" s="27" t="s">
        <v>18</v>
      </c>
      <c r="B26" s="27" t="s">
        <v>19</v>
      </c>
      <c r="C26" s="27"/>
      <c r="D26" s="27" t="s">
        <v>31</v>
      </c>
      <c r="E26" s="27" t="s">
        <v>32</v>
      </c>
      <c r="F26" s="27" t="s">
        <v>21</v>
      </c>
      <c r="G26" s="27" t="s">
        <v>22</v>
      </c>
    </row>
    <row r="27" spans="1:7" x14ac:dyDescent="0.25">
      <c r="A27" s="19" t="s">
        <v>74</v>
      </c>
      <c r="B27" s="198" t="s">
        <v>75</v>
      </c>
      <c r="C27" s="188"/>
      <c r="D27" s="20">
        <v>1</v>
      </c>
      <c r="E27" s="21">
        <v>3.41</v>
      </c>
      <c r="F27" s="20">
        <v>2</v>
      </c>
      <c r="G27" s="21">
        <f>ROUND(D27*E27*F27,2)</f>
        <v>6.82</v>
      </c>
    </row>
    <row r="28" spans="1:7" x14ac:dyDescent="0.25">
      <c r="A28" s="398" t="s">
        <v>33</v>
      </c>
      <c r="B28" s="398"/>
      <c r="C28" s="398"/>
      <c r="D28" s="398"/>
      <c r="E28" s="398"/>
      <c r="F28" s="398"/>
      <c r="G28" s="24">
        <f>G27</f>
        <v>6.82</v>
      </c>
    </row>
    <row r="29" spans="1:7" x14ac:dyDescent="0.25">
      <c r="A29" s="14"/>
      <c r="B29" s="15"/>
      <c r="C29" s="14"/>
      <c r="D29" s="16"/>
      <c r="E29" s="17"/>
      <c r="F29" s="16"/>
      <c r="G29" s="17"/>
    </row>
    <row r="30" spans="1:7" x14ac:dyDescent="0.25">
      <c r="A30" s="399" t="s">
        <v>34</v>
      </c>
      <c r="B30" s="400"/>
      <c r="C30" s="400"/>
      <c r="D30" s="400"/>
      <c r="E30" s="400"/>
      <c r="F30" s="400"/>
      <c r="G30" s="5">
        <f>G13+G18+G23+G28</f>
        <v>7.16</v>
      </c>
    </row>
    <row r="31" spans="1:7" x14ac:dyDescent="0.25">
      <c r="A31" s="28"/>
      <c r="B31" s="29"/>
      <c r="C31" s="29"/>
      <c r="D31" s="29"/>
      <c r="E31" s="29"/>
      <c r="F31" s="29"/>
      <c r="G31" s="5"/>
    </row>
    <row r="32" spans="1:7" x14ac:dyDescent="0.25">
      <c r="A32" s="401" t="s">
        <v>35</v>
      </c>
      <c r="B32" s="402"/>
      <c r="C32" s="402"/>
      <c r="D32" s="402"/>
      <c r="E32" s="402"/>
      <c r="F32" s="402"/>
      <c r="G32" s="403"/>
    </row>
    <row r="33" spans="1:7" x14ac:dyDescent="0.25">
      <c r="A33" s="399" t="s">
        <v>78</v>
      </c>
      <c r="B33" s="400"/>
      <c r="C33" s="400"/>
      <c r="D33" s="400"/>
      <c r="E33" s="400"/>
      <c r="F33" s="400"/>
      <c r="G33" s="5">
        <f>ROUND(0.21*G30,2)</f>
        <v>1.5</v>
      </c>
    </row>
    <row r="34" spans="1:7" x14ac:dyDescent="0.25">
      <c r="A34" s="14"/>
      <c r="B34" s="15"/>
      <c r="C34" s="14"/>
      <c r="D34" s="16"/>
      <c r="E34" s="17"/>
      <c r="F34" s="16"/>
      <c r="G34" s="17"/>
    </row>
    <row r="35" spans="1:7" x14ac:dyDescent="0.25">
      <c r="A35" s="391" t="s">
        <v>36</v>
      </c>
      <c r="B35" s="392"/>
      <c r="C35" s="392"/>
      <c r="D35" s="392"/>
      <c r="E35" s="392"/>
      <c r="F35" s="392"/>
      <c r="G35" s="200">
        <f>G30+G33</f>
        <v>8.66</v>
      </c>
    </row>
  </sheetData>
  <mergeCells count="16">
    <mergeCell ref="A20:G20"/>
    <mergeCell ref="A1:F1"/>
    <mergeCell ref="B2:D2"/>
    <mergeCell ref="F2:G2"/>
    <mergeCell ref="A8:G8"/>
    <mergeCell ref="A10:G10"/>
    <mergeCell ref="A13:F13"/>
    <mergeCell ref="A15:G15"/>
    <mergeCell ref="A18:F18"/>
    <mergeCell ref="A35:F35"/>
    <mergeCell ref="A23:F23"/>
    <mergeCell ref="A25:G25"/>
    <mergeCell ref="A28:F28"/>
    <mergeCell ref="A30:F30"/>
    <mergeCell ref="A32:G32"/>
    <mergeCell ref="A33:F33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opLeftCell="A19" workbookViewId="0">
      <selection activeCell="A29" sqref="A29:F29"/>
    </sheetView>
  </sheetViews>
  <sheetFormatPr baseColWidth="10" defaultRowHeight="13.2" x14ac:dyDescent="0.25"/>
  <cols>
    <col min="1" max="1" width="9.6640625" customWidth="1"/>
    <col min="2" max="2" width="22.88671875" customWidth="1"/>
  </cols>
  <sheetData>
    <row r="1" spans="1:7" ht="15.6" x14ac:dyDescent="0.25">
      <c r="A1" s="404" t="s">
        <v>11</v>
      </c>
      <c r="B1" s="404"/>
      <c r="C1" s="404"/>
      <c r="D1" s="404"/>
      <c r="E1" s="404"/>
      <c r="F1" s="404"/>
      <c r="G1" s="6">
        <f ca="1">NOW()</f>
        <v>42851.649512962962</v>
      </c>
    </row>
    <row r="2" spans="1:7" x14ac:dyDescent="0.25">
      <c r="A2" s="7"/>
      <c r="B2" s="405"/>
      <c r="C2" s="405"/>
      <c r="D2" s="405"/>
      <c r="E2" s="7"/>
      <c r="F2" s="406"/>
      <c r="G2" s="406"/>
    </row>
    <row r="3" spans="1:7" x14ac:dyDescent="0.25">
      <c r="A3" s="7" t="s">
        <v>12</v>
      </c>
      <c r="B3" s="30">
        <f>Presupuesto!B14</f>
        <v>7</v>
      </c>
      <c r="C3" s="8"/>
      <c r="D3" s="8"/>
      <c r="E3" s="7"/>
      <c r="F3" s="9"/>
      <c r="G3" s="9"/>
    </row>
    <row r="4" spans="1:7" x14ac:dyDescent="0.25">
      <c r="A4" s="7" t="s">
        <v>13</v>
      </c>
      <c r="B4" s="196" t="str">
        <f>Presupuesto!C14</f>
        <v>510285M</v>
      </c>
      <c r="C4" s="195"/>
      <c r="D4" s="195"/>
      <c r="E4" s="195"/>
      <c r="F4" s="195"/>
      <c r="G4" s="195"/>
    </row>
    <row r="5" spans="1:7" x14ac:dyDescent="0.25">
      <c r="A5" s="7" t="s">
        <v>14</v>
      </c>
      <c r="B5" s="196" t="str">
        <f>Presupuesto!D14</f>
        <v>Cajas de revisión en hormigón 60x60x80cm marco de angulo 2"</v>
      </c>
      <c r="C5" s="195"/>
      <c r="D5" s="195"/>
      <c r="E5" s="195"/>
      <c r="F5" s="195"/>
      <c r="G5" s="195"/>
    </row>
    <row r="6" spans="1:7" x14ac:dyDescent="0.25">
      <c r="A6" s="7" t="s">
        <v>15</v>
      </c>
      <c r="B6" s="196" t="str">
        <f>Presupuesto!E14</f>
        <v>u</v>
      </c>
      <c r="C6" s="195"/>
      <c r="D6" s="195"/>
      <c r="E6" s="195"/>
      <c r="F6" s="195"/>
      <c r="G6" s="195"/>
    </row>
    <row r="7" spans="1:7" x14ac:dyDescent="0.25">
      <c r="A7" s="10"/>
      <c r="B7" s="11"/>
      <c r="C7" s="12"/>
      <c r="D7" s="13"/>
      <c r="E7" s="13"/>
      <c r="F7" s="13"/>
      <c r="G7" s="13"/>
    </row>
    <row r="8" spans="1:7" x14ac:dyDescent="0.25">
      <c r="A8" s="401" t="s">
        <v>16</v>
      </c>
      <c r="B8" s="402"/>
      <c r="C8" s="402"/>
      <c r="D8" s="402"/>
      <c r="E8" s="402"/>
      <c r="F8" s="402"/>
      <c r="G8" s="403"/>
    </row>
    <row r="9" spans="1:7" x14ac:dyDescent="0.25">
      <c r="A9" s="14"/>
      <c r="B9" s="15"/>
      <c r="C9" s="14"/>
      <c r="D9" s="16"/>
      <c r="E9" s="17"/>
      <c r="F9" s="16"/>
      <c r="G9" s="17"/>
    </row>
    <row r="10" spans="1:7" x14ac:dyDescent="0.25">
      <c r="A10" s="395" t="s">
        <v>17</v>
      </c>
      <c r="B10" s="396"/>
      <c r="C10" s="396"/>
      <c r="D10" s="396"/>
      <c r="E10" s="396"/>
      <c r="F10" s="396"/>
      <c r="G10" s="397"/>
    </row>
    <row r="11" spans="1:7" x14ac:dyDescent="0.25">
      <c r="A11" s="27" t="s">
        <v>18</v>
      </c>
      <c r="B11" s="27" t="s">
        <v>19</v>
      </c>
      <c r="C11" s="27" t="s">
        <v>3</v>
      </c>
      <c r="D11" s="197" t="s">
        <v>4</v>
      </c>
      <c r="E11" s="189" t="s">
        <v>20</v>
      </c>
      <c r="F11" s="197" t="s">
        <v>21</v>
      </c>
      <c r="G11" s="189" t="s">
        <v>22</v>
      </c>
    </row>
    <row r="12" spans="1:7" x14ac:dyDescent="0.25">
      <c r="A12" s="19" t="s">
        <v>79</v>
      </c>
      <c r="B12" s="18" t="s">
        <v>80</v>
      </c>
      <c r="C12" s="19" t="s">
        <v>81</v>
      </c>
      <c r="D12" s="20" t="s">
        <v>106</v>
      </c>
      <c r="E12" s="21"/>
      <c r="F12" s="20"/>
      <c r="G12" s="21">
        <f>ROUND(0.05*G41,2)</f>
        <v>0.95</v>
      </c>
    </row>
    <row r="13" spans="1:7" x14ac:dyDescent="0.25">
      <c r="A13" s="398" t="s">
        <v>23</v>
      </c>
      <c r="B13" s="398"/>
      <c r="C13" s="398"/>
      <c r="D13" s="398"/>
      <c r="E13" s="398"/>
      <c r="F13" s="398"/>
      <c r="G13" s="24">
        <f>G12</f>
        <v>0.95</v>
      </c>
    </row>
    <row r="14" spans="1:7" x14ac:dyDescent="0.25">
      <c r="A14" s="14"/>
      <c r="B14" s="15"/>
      <c r="C14" s="14"/>
      <c r="D14" s="16"/>
      <c r="E14" s="17"/>
      <c r="F14" s="16"/>
      <c r="G14" s="17"/>
    </row>
    <row r="15" spans="1:7" x14ac:dyDescent="0.25">
      <c r="A15" s="395" t="s">
        <v>24</v>
      </c>
      <c r="B15" s="396"/>
      <c r="C15" s="396"/>
      <c r="D15" s="396"/>
      <c r="E15" s="396"/>
      <c r="F15" s="396"/>
      <c r="G15" s="397"/>
    </row>
    <row r="16" spans="1:7" x14ac:dyDescent="0.25">
      <c r="A16" s="27" t="s">
        <v>18</v>
      </c>
      <c r="B16" s="27" t="s">
        <v>19</v>
      </c>
      <c r="C16" s="27" t="s">
        <v>3</v>
      </c>
      <c r="D16" s="197" t="s">
        <v>4</v>
      </c>
      <c r="E16" s="189" t="s">
        <v>20</v>
      </c>
      <c r="F16" s="26"/>
      <c r="G16" s="189" t="s">
        <v>22</v>
      </c>
    </row>
    <row r="17" spans="1:7" x14ac:dyDescent="0.25">
      <c r="A17" s="201" t="s">
        <v>107</v>
      </c>
      <c r="B17" s="213" t="s">
        <v>108</v>
      </c>
      <c r="C17" s="201" t="s">
        <v>109</v>
      </c>
      <c r="D17" s="203">
        <f>2.95*1.5</f>
        <v>4.4250000000000007</v>
      </c>
      <c r="E17" s="204">
        <v>7.15</v>
      </c>
      <c r="F17" s="230"/>
      <c r="G17" s="204">
        <f>ROUND(D17*E17,2)</f>
        <v>31.64</v>
      </c>
    </row>
    <row r="18" spans="1:7" x14ac:dyDescent="0.25">
      <c r="A18" s="205" t="s">
        <v>110</v>
      </c>
      <c r="B18" s="214" t="s">
        <v>111</v>
      </c>
      <c r="C18" s="205" t="s">
        <v>43</v>
      </c>
      <c r="D18" s="207">
        <f>0.36*1.5</f>
        <v>0.54</v>
      </c>
      <c r="E18" s="208">
        <v>16.5</v>
      </c>
      <c r="F18" s="231"/>
      <c r="G18" s="208">
        <f t="shared" ref="G18:G28" si="0">ROUND(D18*E18,2)</f>
        <v>8.91</v>
      </c>
    </row>
    <row r="19" spans="1:7" x14ac:dyDescent="0.25">
      <c r="A19" s="205" t="s">
        <v>112</v>
      </c>
      <c r="B19" s="214" t="s">
        <v>113</v>
      </c>
      <c r="C19" s="205" t="s">
        <v>43</v>
      </c>
      <c r="D19" s="207">
        <f>0.222*1.5</f>
        <v>0.33300000000000002</v>
      </c>
      <c r="E19" s="208">
        <v>15</v>
      </c>
      <c r="F19" s="231"/>
      <c r="G19" s="208">
        <f t="shared" si="0"/>
        <v>5</v>
      </c>
    </row>
    <row r="20" spans="1:7" x14ac:dyDescent="0.25">
      <c r="A20" s="205" t="s">
        <v>114</v>
      </c>
      <c r="B20" s="214" t="s">
        <v>115</v>
      </c>
      <c r="C20" s="205" t="s">
        <v>43</v>
      </c>
      <c r="D20" s="207">
        <f>0.04*1.5</f>
        <v>0.06</v>
      </c>
      <c r="E20" s="208">
        <v>15</v>
      </c>
      <c r="F20" s="231"/>
      <c r="G20" s="208">
        <f t="shared" si="0"/>
        <v>0.9</v>
      </c>
    </row>
    <row r="21" spans="1:7" x14ac:dyDescent="0.25">
      <c r="A21" s="205" t="s">
        <v>116</v>
      </c>
      <c r="B21" s="214" t="s">
        <v>117</v>
      </c>
      <c r="C21" s="205" t="s">
        <v>118</v>
      </c>
      <c r="D21" s="207">
        <f>4.54*1.5</f>
        <v>6.8100000000000005</v>
      </c>
      <c r="E21" s="208">
        <v>0.88</v>
      </c>
      <c r="F21" s="231"/>
      <c r="G21" s="208">
        <f t="shared" si="0"/>
        <v>5.99</v>
      </c>
    </row>
    <row r="22" spans="1:7" x14ac:dyDescent="0.25">
      <c r="A22" s="205" t="s">
        <v>119</v>
      </c>
      <c r="B22" s="214" t="s">
        <v>120</v>
      </c>
      <c r="C22" s="205" t="s">
        <v>121</v>
      </c>
      <c r="D22" s="207">
        <f>50*1.5</f>
        <v>75</v>
      </c>
      <c r="E22" s="246">
        <v>1.0300000000000001E-3</v>
      </c>
      <c r="F22" s="231"/>
      <c r="G22" s="208">
        <f t="shared" si="0"/>
        <v>0.08</v>
      </c>
    </row>
    <row r="23" spans="1:7" x14ac:dyDescent="0.25">
      <c r="A23" s="205" t="s">
        <v>122</v>
      </c>
      <c r="B23" s="214" t="s">
        <v>123</v>
      </c>
      <c r="C23" s="205" t="s">
        <v>124</v>
      </c>
      <c r="D23" s="207">
        <f>0.21*1.5</f>
        <v>0.315</v>
      </c>
      <c r="E23" s="208">
        <v>1.02</v>
      </c>
      <c r="F23" s="231"/>
      <c r="G23" s="208">
        <f t="shared" si="0"/>
        <v>0.32</v>
      </c>
    </row>
    <row r="24" spans="1:7" x14ac:dyDescent="0.25">
      <c r="A24" s="205" t="s">
        <v>125</v>
      </c>
      <c r="B24" s="214" t="s">
        <v>126</v>
      </c>
      <c r="C24" s="205" t="s">
        <v>124</v>
      </c>
      <c r="D24" s="207">
        <f>0.25*1.5</f>
        <v>0.375</v>
      </c>
      <c r="E24" s="208">
        <v>2</v>
      </c>
      <c r="F24" s="231"/>
      <c r="G24" s="208">
        <f t="shared" si="0"/>
        <v>0.75</v>
      </c>
    </row>
    <row r="25" spans="1:7" x14ac:dyDescent="0.25">
      <c r="A25" s="205" t="s">
        <v>127</v>
      </c>
      <c r="B25" s="214" t="s">
        <v>128</v>
      </c>
      <c r="C25" s="205" t="s">
        <v>129</v>
      </c>
      <c r="D25" s="207">
        <f>5.6*1.5</f>
        <v>8.3999999999999986</v>
      </c>
      <c r="E25" s="208">
        <v>2.7</v>
      </c>
      <c r="F25" s="231"/>
      <c r="G25" s="208">
        <f t="shared" si="0"/>
        <v>22.68</v>
      </c>
    </row>
    <row r="26" spans="1:7" x14ac:dyDescent="0.25">
      <c r="A26" s="205" t="s">
        <v>130</v>
      </c>
      <c r="B26" s="214" t="s">
        <v>131</v>
      </c>
      <c r="C26" s="205" t="s">
        <v>48</v>
      </c>
      <c r="D26" s="207">
        <f>1.35*1.5</f>
        <v>2.0250000000000004</v>
      </c>
      <c r="E26" s="208">
        <v>3</v>
      </c>
      <c r="F26" s="231"/>
      <c r="G26" s="208">
        <f t="shared" si="0"/>
        <v>6.08</v>
      </c>
    </row>
    <row r="27" spans="1:7" x14ac:dyDescent="0.25">
      <c r="A27" s="205" t="s">
        <v>132</v>
      </c>
      <c r="B27" s="214" t="s">
        <v>133</v>
      </c>
      <c r="C27" s="205" t="s">
        <v>129</v>
      </c>
      <c r="D27" s="207">
        <f>3.75*1.5</f>
        <v>5.625</v>
      </c>
      <c r="E27" s="208">
        <v>0.4</v>
      </c>
      <c r="F27" s="231"/>
      <c r="G27" s="208">
        <f t="shared" si="0"/>
        <v>2.25</v>
      </c>
    </row>
    <row r="28" spans="1:7" x14ac:dyDescent="0.25">
      <c r="A28" s="209" t="s">
        <v>134</v>
      </c>
      <c r="B28" s="216" t="s">
        <v>135</v>
      </c>
      <c r="C28" s="209" t="s">
        <v>129</v>
      </c>
      <c r="D28" s="211">
        <f>3*1.5</f>
        <v>4.5</v>
      </c>
      <c r="E28" s="212">
        <v>0.35</v>
      </c>
      <c r="F28" s="232"/>
      <c r="G28" s="212">
        <f t="shared" si="0"/>
        <v>1.58</v>
      </c>
    </row>
    <row r="29" spans="1:7" x14ac:dyDescent="0.25">
      <c r="A29" s="398" t="s">
        <v>25</v>
      </c>
      <c r="B29" s="398"/>
      <c r="C29" s="398"/>
      <c r="D29" s="398"/>
      <c r="E29" s="398"/>
      <c r="F29" s="398"/>
      <c r="G29" s="24">
        <f>SUM(G17:G28)</f>
        <v>86.179999999999993</v>
      </c>
    </row>
    <row r="30" spans="1:7" x14ac:dyDescent="0.25">
      <c r="A30" s="14"/>
      <c r="B30" s="15"/>
      <c r="C30" s="14"/>
      <c r="D30" s="16"/>
      <c r="E30" s="17"/>
      <c r="F30" s="16"/>
      <c r="G30" s="17"/>
    </row>
    <row r="31" spans="1:7" x14ac:dyDescent="0.25">
      <c r="A31" s="395" t="s">
        <v>26</v>
      </c>
      <c r="B31" s="396"/>
      <c r="C31" s="396"/>
      <c r="D31" s="396"/>
      <c r="E31" s="396"/>
      <c r="F31" s="396"/>
      <c r="G31" s="397"/>
    </row>
    <row r="32" spans="1:7" x14ac:dyDescent="0.25">
      <c r="A32" s="27" t="s">
        <v>18</v>
      </c>
      <c r="B32" s="27" t="s">
        <v>19</v>
      </c>
      <c r="C32" s="27" t="s">
        <v>3</v>
      </c>
      <c r="D32" s="27" t="s">
        <v>4</v>
      </c>
      <c r="E32" s="27" t="s">
        <v>27</v>
      </c>
      <c r="F32" s="27" t="s">
        <v>28</v>
      </c>
      <c r="G32" s="27" t="s">
        <v>22</v>
      </c>
    </row>
    <row r="33" spans="1:7" x14ac:dyDescent="0.25">
      <c r="A33" s="22"/>
      <c r="B33" s="25"/>
      <c r="C33" s="22"/>
      <c r="D33" s="23"/>
      <c r="E33" s="24"/>
      <c r="F33" s="26"/>
      <c r="G33" s="21"/>
    </row>
    <row r="34" spans="1:7" x14ac:dyDescent="0.25">
      <c r="A34" s="393" t="s">
        <v>29</v>
      </c>
      <c r="B34" s="394"/>
      <c r="C34" s="394"/>
      <c r="D34" s="394"/>
      <c r="E34" s="394"/>
      <c r="F34" s="394"/>
      <c r="G34" s="24">
        <v>0</v>
      </c>
    </row>
    <row r="35" spans="1:7" x14ac:dyDescent="0.25">
      <c r="A35" s="14"/>
      <c r="B35" s="15"/>
      <c r="C35" s="14"/>
      <c r="D35" s="16"/>
      <c r="E35" s="17"/>
      <c r="F35" s="16"/>
      <c r="G35" s="17"/>
    </row>
    <row r="36" spans="1:7" x14ac:dyDescent="0.25">
      <c r="A36" s="395" t="s">
        <v>30</v>
      </c>
      <c r="B36" s="396"/>
      <c r="C36" s="396"/>
      <c r="D36" s="396"/>
      <c r="E36" s="396"/>
      <c r="F36" s="396"/>
      <c r="G36" s="397"/>
    </row>
    <row r="37" spans="1:7" x14ac:dyDescent="0.25">
      <c r="A37" s="27" t="s">
        <v>18</v>
      </c>
      <c r="B37" s="27" t="s">
        <v>19</v>
      </c>
      <c r="C37" s="27"/>
      <c r="D37" s="27" t="s">
        <v>31</v>
      </c>
      <c r="E37" s="27" t="s">
        <v>32</v>
      </c>
      <c r="F37" s="27" t="s">
        <v>21</v>
      </c>
      <c r="G37" s="27" t="s">
        <v>22</v>
      </c>
    </row>
    <row r="38" spans="1:7" x14ac:dyDescent="0.25">
      <c r="A38" s="201" t="s">
        <v>74</v>
      </c>
      <c r="B38" s="213" t="s">
        <v>75</v>
      </c>
      <c r="C38" s="190"/>
      <c r="D38" s="203">
        <v>1</v>
      </c>
      <c r="E38" s="204">
        <v>3.41</v>
      </c>
      <c r="F38" s="203">
        <v>3</v>
      </c>
      <c r="G38" s="204">
        <f>ROUND(D38*E38*F38,2)</f>
        <v>10.23</v>
      </c>
    </row>
    <row r="39" spans="1:7" x14ac:dyDescent="0.25">
      <c r="A39" s="205" t="s">
        <v>76</v>
      </c>
      <c r="B39" s="214" t="s">
        <v>77</v>
      </c>
      <c r="C39" s="215"/>
      <c r="D39" s="207">
        <v>1</v>
      </c>
      <c r="E39" s="208">
        <v>3.45</v>
      </c>
      <c r="F39" s="207">
        <v>2</v>
      </c>
      <c r="G39" s="208">
        <f t="shared" ref="G39:G40" si="1">ROUND(D39*E39*F39,2)</f>
        <v>6.9</v>
      </c>
    </row>
    <row r="40" spans="1:7" x14ac:dyDescent="0.25">
      <c r="A40" s="209" t="s">
        <v>90</v>
      </c>
      <c r="B40" s="216" t="s">
        <v>91</v>
      </c>
      <c r="C40" s="217"/>
      <c r="D40" s="211">
        <v>1</v>
      </c>
      <c r="E40" s="212">
        <v>3.83</v>
      </c>
      <c r="F40" s="211">
        <v>0.5</v>
      </c>
      <c r="G40" s="212">
        <f t="shared" si="1"/>
        <v>1.92</v>
      </c>
    </row>
    <row r="41" spans="1:7" x14ac:dyDescent="0.25">
      <c r="A41" s="398" t="s">
        <v>33</v>
      </c>
      <c r="B41" s="398"/>
      <c r="C41" s="398"/>
      <c r="D41" s="398"/>
      <c r="E41" s="398"/>
      <c r="F41" s="398"/>
      <c r="G41" s="24">
        <f>SUM(G38:G40)</f>
        <v>19.050000000000004</v>
      </c>
    </row>
    <row r="42" spans="1:7" x14ac:dyDescent="0.25">
      <c r="A42" s="14"/>
      <c r="B42" s="15"/>
      <c r="C42" s="14"/>
      <c r="D42" s="16"/>
      <c r="E42" s="17"/>
      <c r="F42" s="16"/>
      <c r="G42" s="17"/>
    </row>
    <row r="43" spans="1:7" x14ac:dyDescent="0.25">
      <c r="A43" s="399" t="s">
        <v>34</v>
      </c>
      <c r="B43" s="400"/>
      <c r="C43" s="400"/>
      <c r="D43" s="400"/>
      <c r="E43" s="400"/>
      <c r="F43" s="400"/>
      <c r="G43" s="5">
        <f>+G41+G34+G29+G13</f>
        <v>106.17999999999999</v>
      </c>
    </row>
    <row r="44" spans="1:7" x14ac:dyDescent="0.25">
      <c r="A44" s="28"/>
      <c r="B44" s="29"/>
      <c r="C44" s="29"/>
      <c r="D44" s="29"/>
      <c r="E44" s="29"/>
      <c r="F44" s="29"/>
      <c r="G44" s="5"/>
    </row>
    <row r="45" spans="1:7" x14ac:dyDescent="0.25">
      <c r="A45" s="401" t="s">
        <v>35</v>
      </c>
      <c r="B45" s="402"/>
      <c r="C45" s="402"/>
      <c r="D45" s="402"/>
      <c r="E45" s="402"/>
      <c r="F45" s="402"/>
      <c r="G45" s="403"/>
    </row>
    <row r="46" spans="1:7" x14ac:dyDescent="0.25">
      <c r="A46" s="399" t="s">
        <v>78</v>
      </c>
      <c r="B46" s="400"/>
      <c r="C46" s="400"/>
      <c r="D46" s="400"/>
      <c r="E46" s="400"/>
      <c r="F46" s="400"/>
      <c r="G46" s="5">
        <f>ROUND(0.21*G43,2)</f>
        <v>22.3</v>
      </c>
    </row>
    <row r="47" spans="1:7" x14ac:dyDescent="0.25">
      <c r="A47" s="14"/>
      <c r="B47" s="15"/>
      <c r="C47" s="14"/>
      <c r="D47" s="16"/>
      <c r="E47" s="17"/>
      <c r="F47" s="16"/>
      <c r="G47" s="17"/>
    </row>
    <row r="48" spans="1:7" x14ac:dyDescent="0.25">
      <c r="A48" s="391" t="s">
        <v>36</v>
      </c>
      <c r="B48" s="392"/>
      <c r="C48" s="392"/>
      <c r="D48" s="392"/>
      <c r="E48" s="392"/>
      <c r="F48" s="392"/>
      <c r="G48" s="200">
        <f>G43+G46</f>
        <v>128.47999999999999</v>
      </c>
    </row>
  </sheetData>
  <mergeCells count="16">
    <mergeCell ref="A31:G31"/>
    <mergeCell ref="A1:F1"/>
    <mergeCell ref="B2:D2"/>
    <mergeCell ref="F2:G2"/>
    <mergeCell ref="A8:G8"/>
    <mergeCell ref="A10:G10"/>
    <mergeCell ref="A13:F13"/>
    <mergeCell ref="A15:G15"/>
    <mergeCell ref="A29:F29"/>
    <mergeCell ref="A48:F48"/>
    <mergeCell ref="A34:F34"/>
    <mergeCell ref="A36:G36"/>
    <mergeCell ref="A41:F41"/>
    <mergeCell ref="A43:F43"/>
    <mergeCell ref="A45:G45"/>
    <mergeCell ref="A46:F46"/>
  </mergeCells>
  <pageMargins left="0.61" right="0.5" top="0.38" bottom="0.75" header="0" footer="0.49"/>
  <pageSetup paperSize="9" orientation="portrait" verticalDpi="0" r:id="rId1"/>
  <headerFooter alignWithMargins="0">
    <oddHeader>&amp;R- InterPro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56</vt:i4>
      </vt:variant>
      <vt:variant>
        <vt:lpstr>Rangos con nombre</vt:lpstr>
      </vt:variant>
      <vt:variant>
        <vt:i4>1</vt:i4>
      </vt:variant>
    </vt:vector>
  </HeadingPairs>
  <TitlesOfParts>
    <vt:vector size="57" baseType="lpstr">
      <vt:lpstr>Memoria de Rubros</vt:lpstr>
      <vt:lpstr>Presupuesto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Presupuesto!Área_de_impresión</vt:lpstr>
    </vt:vector>
  </TitlesOfParts>
  <Company>Interservi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Servidor</dc:creator>
  <cp:lastModifiedBy>PC</cp:lastModifiedBy>
  <cp:lastPrinted>2017-04-26T20:31:00Z</cp:lastPrinted>
  <dcterms:created xsi:type="dcterms:W3CDTF">2004-03-22T17:35:20Z</dcterms:created>
  <dcterms:modified xsi:type="dcterms:W3CDTF">2017-04-26T20:35:27Z</dcterms:modified>
</cp:coreProperties>
</file>